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36" yWindow="96" windowWidth="19296" windowHeight="4776" tabRatio="937"/>
  </bookViews>
  <sheets>
    <sheet name="Титул" sheetId="15" r:id="rId1"/>
    <sheet name="Примечания" sheetId="18" r:id="rId2"/>
    <sheet name="Газпром в мире" sheetId="16" r:id="rId3"/>
    <sheet name="Макроэкономика" sheetId="12" r:id="rId4"/>
    <sheet name="Индикаторы" sheetId="17" r:id="rId5"/>
    <sheet name="Классификация" sheetId="19" r:id="rId6"/>
    <sheet name="Суммарные запасы" sheetId="1" r:id="rId7"/>
    <sheet name="Запасы дочерних" sheetId="2" r:id="rId8"/>
    <sheet name="Запасы по округам" sheetId="3" r:id="rId9"/>
    <sheet name="Движение запасов" sheetId="4" r:id="rId10"/>
    <sheet name="Лицензии" sheetId="50" r:id="rId11"/>
    <sheet name="Всего добыча" sheetId="24" r:id="rId12"/>
    <sheet name="Добыча газа (кв.)" sheetId="25" r:id="rId13"/>
    <sheet name="Добыча жидких (кв.)" sheetId="26" r:id="rId14"/>
    <sheet name="Добыча по округам" sheetId="14" r:id="rId15"/>
    <sheet name="ГРР и бурение" sheetId="5" r:id="rId16"/>
    <sheet name="Зарубежные проекты" sheetId="110" r:id="rId17"/>
    <sheet name="Российские проекты" sheetId="111" r:id="rId18"/>
    <sheet name="Транспортировка" sheetId="8" r:id="rId19"/>
    <sheet name="Газотранспортные проекты" sheetId="112" r:id="rId20"/>
    <sheet name="ПХГ" sheetId="9" r:id="rId21"/>
    <sheet name="Переработка" sheetId="75" r:id="rId22"/>
    <sheet name="Переработка компаний" sheetId="79" r:id="rId23"/>
    <sheet name="ГПЗ и НПЗ" sheetId="113" r:id="rId24"/>
    <sheet name="Электроэнергетика" sheetId="83" r:id="rId25"/>
    <sheet name="Реализация газа" sheetId="87" r:id="rId26"/>
    <sheet name="Рынок газа в России" sheetId="95" r:id="rId27"/>
    <sheet name="Продажа жидких" sheetId="93" r:id="rId28"/>
    <sheet name="Продажа энергии и услуг" sheetId="102" r:id="rId29"/>
    <sheet name="Экология" sheetId="105" r:id="rId30"/>
    <sheet name="Персонал" sheetId="107" r:id="rId31"/>
    <sheet name="Коэффициенты" sheetId="114" r:id="rId32"/>
    <sheet name="Глоссарий" sheetId="115" r:id="rId33"/>
  </sheets>
  <definedNames>
    <definedName name="_Toc166922594" localSheetId="30">Персонал!$A$1</definedName>
    <definedName name="_Toc260216930" localSheetId="31">Коэффициенты!$A$1</definedName>
    <definedName name="_Toc260216931" localSheetId="32">Глоссарий!$A$1</definedName>
    <definedName name="_Toc261606054" localSheetId="2">'Газпром в мире'!$A$1</definedName>
    <definedName name="_Toc261606055" localSheetId="3">Макроэкономика!$A$2</definedName>
    <definedName name="_Toc261606056" localSheetId="4">Индикаторы!$A$1</definedName>
    <definedName name="_Toc261618112" localSheetId="4">Индикаторы!$A$1</definedName>
    <definedName name="_Toc261618113" localSheetId="5">Классификация!$A$1</definedName>
    <definedName name="_Toc262475146" localSheetId="10">Лицензии!$A$1</definedName>
    <definedName name="_Toc262475148" localSheetId="15">'ГРР и бурение'!$A$1</definedName>
    <definedName name="_Toc262475151" localSheetId="18">Транспортировка!$A$1</definedName>
    <definedName name="_Toc262475153" localSheetId="20">ПХГ!$A$1</definedName>
    <definedName name="_Toc262475155" localSheetId="21">Переработка!$A$1</definedName>
    <definedName name="_Toc262475156" localSheetId="24">Электроэнергетика!$A$1</definedName>
    <definedName name="_Toc262475157" localSheetId="25">'Реализация газа'!$A$1</definedName>
    <definedName name="_Toc262475158" localSheetId="26">'Рынок газа в России'!$A$29</definedName>
    <definedName name="_Toc262475159" localSheetId="27">'Продажа жидких'!$A$1</definedName>
    <definedName name="_Toc262475160" localSheetId="28">'Продажа энергии и услуг'!$A$1</definedName>
    <definedName name="_Toc262475161" localSheetId="29">Экология!$A$1</definedName>
    <definedName name="_Toc262629692" localSheetId="11">'Всего добыча'!#REF!</definedName>
    <definedName name="_Toc262629694" localSheetId="16">'Зарубежные проекты'!$A$1</definedName>
    <definedName name="_Toc263428332" localSheetId="17">'Российские проекты'!$A$1</definedName>
    <definedName name="_Toc263428334" localSheetId="19">'Газотранспортные проекты'!$A$1</definedName>
    <definedName name="OLE_LINK46" localSheetId="17">'Российские проекты'!$A$21</definedName>
    <definedName name="OLE_LINK5" localSheetId="30">Персонал!$A$2</definedName>
    <definedName name="OLE_LINK8" localSheetId="25">'Реализация газа'!#REF!</definedName>
    <definedName name="_xlnm.Print_Titles" localSheetId="19">'Газотранспортные проекты'!$16:$17</definedName>
    <definedName name="_xlnm.Print_Titles" localSheetId="23">'ГПЗ и НПЗ'!$21:$22</definedName>
    <definedName name="_xlnm.Print_Titles" localSheetId="9">'Движение запасов'!$2:$3</definedName>
    <definedName name="_xlnm.Print_Titles" localSheetId="13">'Добыча жидких (кв.)'!$20:$22</definedName>
    <definedName name="_xlnm.Print_Titles" localSheetId="16">'Зарубежные проекты'!$2:$2</definedName>
    <definedName name="_xlnm.Print_Titles" localSheetId="10">Лицензии!$10:$10</definedName>
    <definedName name="_xlnm.Print_Titles" localSheetId="17">'Российские проекты'!$21:$21</definedName>
    <definedName name="_xlnm.Print_Area" localSheetId="11">'Всего добыча'!$A$1:$U$36</definedName>
    <definedName name="_xlnm.Print_Area" localSheetId="19">'Газотранспортные проекты'!$A$1:$F$35</definedName>
    <definedName name="_xlnm.Print_Area" localSheetId="2">'Газпром в мире'!$A$1:$G$17</definedName>
    <definedName name="_xlnm.Print_Area" localSheetId="32">Глоссарий!$A$1:$B$36</definedName>
    <definedName name="_xlnm.Print_Area" localSheetId="23">'ГПЗ и НПЗ'!$A$1:$F$41</definedName>
    <definedName name="_xlnm.Print_Area" localSheetId="15">'ГРР и бурение'!$A$1:$G$81</definedName>
    <definedName name="_xlnm.Print_Area" localSheetId="9">'Движение запасов'!$A$1:$N$65</definedName>
    <definedName name="_xlnm.Print_Area" localSheetId="12">'Добыча газа (кв.)'!$A$1:$U$35</definedName>
    <definedName name="_xlnm.Print_Area" localSheetId="13">'Добыча жидких (кв.)'!$A$1:$U$41</definedName>
    <definedName name="_xlnm.Print_Area" localSheetId="14">'Добыча по округам'!$A$1:$U$31</definedName>
    <definedName name="_xlnm.Print_Area" localSheetId="7">'Запасы дочерних'!$A$1:$U$67</definedName>
    <definedName name="_xlnm.Print_Area" localSheetId="8">'Запасы по округам'!$A$1:$U$40</definedName>
    <definedName name="_xlnm.Print_Area" localSheetId="16">'Зарубежные проекты'!$A$1:$F$40</definedName>
    <definedName name="_xlnm.Print_Area" localSheetId="4">Индикаторы!$A$1:$H$53</definedName>
    <definedName name="_xlnm.Print_Area" localSheetId="5">Классификация!$A$1:$A$20</definedName>
    <definedName name="_xlnm.Print_Area" localSheetId="31">Коэффициенты!$A$1:$C$20</definedName>
    <definedName name="_xlnm.Print_Area" localSheetId="10">Лицензии!$A$1:$I$63</definedName>
    <definedName name="_xlnm.Print_Area" localSheetId="3">Макроэкономика!$A$1:$H$37</definedName>
    <definedName name="_xlnm.Print_Area" localSheetId="21">Переработка!$A$1:$G$37</definedName>
    <definedName name="_xlnm.Print_Area" localSheetId="22">'Переработка компаний'!$A$1:$G$51</definedName>
    <definedName name="_xlnm.Print_Area" localSheetId="30">Персонал!$A$1:$G$40</definedName>
    <definedName name="_xlnm.Print_Area" localSheetId="1">Примечания!$A$1:$A$6</definedName>
    <definedName name="_xlnm.Print_Area" localSheetId="27">'Продажа жидких'!$A$1:$E$49</definedName>
    <definedName name="_xlnm.Print_Area" localSheetId="28">'Продажа энергии и услуг'!$A$1:$E$23</definedName>
    <definedName name="_xlnm.Print_Area" localSheetId="20">ПХГ!$A$1:$G$84</definedName>
    <definedName name="_xlnm.Print_Area" localSheetId="25">'Реализация газа'!$A$1:$F$106</definedName>
    <definedName name="_xlnm.Print_Area" localSheetId="17">'Российские проекты'!$A$1:$E$51</definedName>
    <definedName name="_xlnm.Print_Area" localSheetId="26">'Рынок газа в России'!$A$1:$G$43</definedName>
    <definedName name="_xlnm.Print_Area" localSheetId="6">'Суммарные запасы'!$A$1:$U$31</definedName>
    <definedName name="_xlnm.Print_Area" localSheetId="0">Титул!$A$1:$B$49</definedName>
    <definedName name="_xlnm.Print_Area" localSheetId="18">Транспортировка!$A$1:$G$43</definedName>
    <definedName name="_xlnm.Print_Area" localSheetId="29">Экология!$A$1:$G$42</definedName>
    <definedName name="_xlnm.Print_Area" localSheetId="24">Электроэнергетика!$A$1:$G$39</definedName>
  </definedNames>
  <calcPr calcId="125725"/>
</workbook>
</file>

<file path=xl/calcChain.xml><?xml version="1.0" encoding="utf-8"?>
<calcChain xmlns="http://schemas.openxmlformats.org/spreadsheetml/2006/main">
  <c r="Q7" i="2"/>
  <c r="P7"/>
  <c r="P29" i="24"/>
  <c r="P31"/>
  <c r="P33"/>
  <c r="I29"/>
  <c r="I31"/>
  <c r="I33"/>
  <c r="I35"/>
  <c r="G24" i="79"/>
  <c r="G33"/>
  <c r="F33"/>
  <c r="F39" i="9"/>
  <c r="E39"/>
  <c r="D39"/>
  <c r="C39"/>
  <c r="G30"/>
  <c r="G29"/>
  <c r="G28"/>
  <c r="G27"/>
  <c r="G31" s="1"/>
  <c r="F31"/>
  <c r="E31"/>
  <c r="D31"/>
  <c r="C31"/>
  <c r="G13" i="107"/>
  <c r="G36" i="105"/>
  <c r="C36"/>
  <c r="D36"/>
  <c r="E36"/>
  <c r="F36"/>
  <c r="G23"/>
  <c r="F23"/>
  <c r="E23"/>
  <c r="D12" i="102"/>
  <c r="D11"/>
  <c r="C33" i="93"/>
  <c r="G20" i="95"/>
  <c r="R24" i="2"/>
  <c r="R22"/>
  <c r="R9"/>
  <c r="R8"/>
  <c r="F53" i="4"/>
  <c r="J59" i="2"/>
  <c r="J60"/>
  <c r="M59"/>
  <c r="M60"/>
  <c r="N54"/>
  <c r="N60"/>
  <c r="N55"/>
  <c r="U12"/>
  <c r="U13"/>
  <c r="E35" i="87"/>
  <c r="G5" i="8"/>
  <c r="G42" i="5"/>
  <c r="G49" s="1"/>
  <c r="G41"/>
  <c r="G44" s="1"/>
  <c r="G40"/>
  <c r="G43" s="1"/>
  <c r="F80" i="9"/>
  <c r="F82"/>
  <c r="F81"/>
  <c r="F79"/>
  <c r="F76"/>
  <c r="G66"/>
  <c r="G70"/>
  <c r="G69"/>
  <c r="G68"/>
  <c r="G67"/>
  <c r="G63"/>
  <c r="G71"/>
  <c r="G39"/>
  <c r="K50" i="4"/>
  <c r="G59"/>
  <c r="H53"/>
  <c r="H52"/>
  <c r="G83" i="9"/>
  <c r="E22" i="102"/>
  <c r="E21"/>
  <c r="E12"/>
  <c r="E11"/>
  <c r="E45" i="93"/>
  <c r="E38"/>
  <c r="E43" s="1"/>
  <c r="E46"/>
  <c r="E47"/>
  <c r="E41"/>
  <c r="E42"/>
  <c r="E40"/>
  <c r="E33"/>
  <c r="D33"/>
  <c r="E14"/>
  <c r="E24" s="1"/>
  <c r="E22"/>
  <c r="E23"/>
  <c r="E21"/>
  <c r="E17"/>
  <c r="E18"/>
  <c r="E16"/>
  <c r="E9"/>
  <c r="D9"/>
  <c r="E30" i="87"/>
  <c r="E28"/>
  <c r="E33" s="1"/>
  <c r="F47"/>
  <c r="F46"/>
  <c r="F51"/>
  <c r="F50"/>
  <c r="F55"/>
  <c r="F54"/>
  <c r="F35"/>
  <c r="F28"/>
  <c r="F38"/>
  <c r="F36"/>
  <c r="F37"/>
  <c r="F32"/>
  <c r="F31"/>
  <c r="F30"/>
  <c r="E86"/>
  <c r="E99" s="1"/>
  <c r="E98"/>
  <c r="F86"/>
  <c r="F99" s="1"/>
  <c r="F98"/>
  <c r="U14" i="2"/>
  <c r="U9"/>
  <c r="U8"/>
  <c r="Q27"/>
  <c r="N22"/>
  <c r="N28"/>
  <c r="N23" i="14"/>
  <c r="N19"/>
  <c r="U14"/>
  <c r="U12"/>
  <c r="N12"/>
  <c r="N13"/>
  <c r="N14"/>
  <c r="N15"/>
  <c r="N16"/>
  <c r="N17"/>
  <c r="N24"/>
  <c r="N20"/>
  <c r="N21"/>
  <c r="N22"/>
  <c r="U24"/>
  <c r="U21"/>
  <c r="U22"/>
  <c r="U23"/>
  <c r="U20"/>
  <c r="U19"/>
  <c r="U17"/>
  <c r="U13"/>
  <c r="U15"/>
  <c r="U16"/>
  <c r="U10"/>
  <c r="U31" s="1"/>
  <c r="U8"/>
  <c r="U9"/>
  <c r="U7"/>
  <c r="U28" s="1"/>
  <c r="U6"/>
  <c r="U5"/>
  <c r="N10"/>
  <c r="N31" s="1"/>
  <c r="N7"/>
  <c r="N28" s="1"/>
  <c r="N8"/>
  <c r="N9"/>
  <c r="N30" s="1"/>
  <c r="N5"/>
  <c r="N6"/>
  <c r="N27" s="1"/>
  <c r="N24" i="2"/>
  <c r="N23"/>
  <c r="N19"/>
  <c r="N18"/>
  <c r="N17"/>
  <c r="U7"/>
  <c r="N9"/>
  <c r="N8"/>
  <c r="N7"/>
  <c r="U6" i="25"/>
  <c r="U10"/>
  <c r="U28"/>
  <c r="N27"/>
  <c r="U18"/>
  <c r="U15"/>
  <c r="N15"/>
  <c r="N32" i="26"/>
  <c r="N33"/>
  <c r="N34"/>
  <c r="N9"/>
  <c r="U40"/>
  <c r="U30"/>
  <c r="U31"/>
  <c r="U25"/>
  <c r="U32"/>
  <c r="U33"/>
  <c r="U34"/>
  <c r="U24"/>
  <c r="U26"/>
  <c r="U27"/>
  <c r="U28"/>
  <c r="U6"/>
  <c r="U12"/>
  <c r="U7"/>
  <c r="U13"/>
  <c r="U8"/>
  <c r="U14"/>
  <c r="U9"/>
  <c r="U15"/>
  <c r="U10"/>
  <c r="U16"/>
  <c r="N40"/>
  <c r="N30"/>
  <c r="N31"/>
  <c r="N24"/>
  <c r="N25"/>
  <c r="N26"/>
  <c r="N38" s="1"/>
  <c r="N27"/>
  <c r="N28"/>
  <c r="N15"/>
  <c r="N10"/>
  <c r="N16" s="1"/>
  <c r="N8"/>
  <c r="N14" s="1"/>
  <c r="N7"/>
  <c r="N13" s="1"/>
  <c r="N6"/>
  <c r="U34" i="25"/>
  <c r="U24"/>
  <c r="U25"/>
  <c r="U26"/>
  <c r="U27"/>
  <c r="U19"/>
  <c r="U20"/>
  <c r="U21"/>
  <c r="U22"/>
  <c r="U12"/>
  <c r="U30" s="1"/>
  <c r="U13"/>
  <c r="U14"/>
  <c r="U16"/>
  <c r="U7"/>
  <c r="U8"/>
  <c r="U9"/>
  <c r="U33" s="1"/>
  <c r="N34"/>
  <c r="N26"/>
  <c r="N28"/>
  <c r="N25"/>
  <c r="N24"/>
  <c r="N22"/>
  <c r="N19"/>
  <c r="N20"/>
  <c r="N21"/>
  <c r="N18"/>
  <c r="N13"/>
  <c r="N14"/>
  <c r="N16"/>
  <c r="N12"/>
  <c r="N7"/>
  <c r="N31" s="1"/>
  <c r="N8"/>
  <c r="N32" s="1"/>
  <c r="N9"/>
  <c r="N33" s="1"/>
  <c r="N10"/>
  <c r="N6"/>
  <c r="U29" i="24"/>
  <c r="U31"/>
  <c r="U33"/>
  <c r="N29"/>
  <c r="N31"/>
  <c r="N33"/>
  <c r="U55" i="2"/>
  <c r="U54"/>
  <c r="Q59"/>
  <c r="N59"/>
  <c r="N63"/>
  <c r="U61"/>
  <c r="U60"/>
  <c r="U59"/>
  <c r="S60"/>
  <c r="K61"/>
  <c r="K60"/>
  <c r="L60"/>
  <c r="M61"/>
  <c r="G64"/>
  <c r="G63"/>
  <c r="G56"/>
  <c r="N56"/>
  <c r="U40"/>
  <c r="U44"/>
  <c r="U39"/>
  <c r="U43"/>
  <c r="N40"/>
  <c r="N44"/>
  <c r="N39"/>
  <c r="N43"/>
  <c r="G44"/>
  <c r="G43"/>
  <c r="G41"/>
  <c r="U41"/>
  <c r="U17"/>
  <c r="U22"/>
  <c r="U28"/>
  <c r="U24"/>
  <c r="U23"/>
  <c r="U19"/>
  <c r="U18"/>
  <c r="N14"/>
  <c r="N13"/>
  <c r="N12"/>
  <c r="N19" i="1"/>
  <c r="N7"/>
  <c r="B24" i="8"/>
  <c r="G19"/>
  <c r="G37" i="75"/>
  <c r="F37"/>
  <c r="G36"/>
  <c r="F36"/>
  <c r="G35"/>
  <c r="F35"/>
  <c r="G34"/>
  <c r="F34"/>
  <c r="G33"/>
  <c r="F33"/>
  <c r="G32"/>
  <c r="F32"/>
  <c r="G31"/>
  <c r="F31"/>
  <c r="G30"/>
  <c r="F30"/>
  <c r="G29"/>
  <c r="F29"/>
  <c r="G28"/>
  <c r="F28"/>
  <c r="G27"/>
  <c r="F27"/>
  <c r="G26"/>
  <c r="F26"/>
  <c r="G25"/>
  <c r="F25"/>
  <c r="G24"/>
  <c r="F24"/>
  <c r="G23"/>
  <c r="F23"/>
  <c r="G22"/>
  <c r="F22"/>
  <c r="G21"/>
  <c r="F21"/>
  <c r="H59" i="4"/>
  <c r="G52" i="5"/>
  <c r="U6" i="1"/>
  <c r="U5"/>
  <c r="U11"/>
  <c r="U12"/>
  <c r="U17"/>
  <c r="N5"/>
  <c r="N6"/>
  <c r="N11"/>
  <c r="N12"/>
  <c r="N17"/>
  <c r="U9"/>
  <c r="U15"/>
  <c r="U21"/>
  <c r="U8"/>
  <c r="U14"/>
  <c r="U20"/>
  <c r="U7"/>
  <c r="U13"/>
  <c r="U19"/>
  <c r="N9"/>
  <c r="N15"/>
  <c r="N21"/>
  <c r="N8"/>
  <c r="N14"/>
  <c r="N20"/>
  <c r="N13"/>
  <c r="I7" i="50"/>
  <c r="I6"/>
  <c r="I5"/>
  <c r="M60" i="4"/>
  <c r="L60"/>
  <c r="K60"/>
  <c r="M59"/>
  <c r="M51"/>
  <c r="M52"/>
  <c r="M53"/>
  <c r="M54"/>
  <c r="M55"/>
  <c r="M56"/>
  <c r="M57"/>
  <c r="M58"/>
  <c r="L59"/>
  <c r="L51"/>
  <c r="L52"/>
  <c r="L53"/>
  <c r="L54"/>
  <c r="L55"/>
  <c r="L56"/>
  <c r="L57"/>
  <c r="L58"/>
  <c r="K59"/>
  <c r="N59"/>
  <c r="K51"/>
  <c r="K52"/>
  <c r="N52" s="1"/>
  <c r="K53"/>
  <c r="K54"/>
  <c r="N54" s="1"/>
  <c r="K55"/>
  <c r="K56"/>
  <c r="N56" s="1"/>
  <c r="K57"/>
  <c r="K58"/>
  <c r="N58" s="1"/>
  <c r="G53"/>
  <c r="I53" s="1"/>
  <c r="G54"/>
  <c r="H54"/>
  <c r="G55"/>
  <c r="H55"/>
  <c r="G56"/>
  <c r="H56"/>
  <c r="G57"/>
  <c r="H57"/>
  <c r="G58"/>
  <c r="H58"/>
  <c r="G60"/>
  <c r="H60"/>
  <c r="F60"/>
  <c r="I60" s="1"/>
  <c r="F59"/>
  <c r="I59" s="1"/>
  <c r="F51"/>
  <c r="F52"/>
  <c r="F54"/>
  <c r="I54" s="1"/>
  <c r="F55"/>
  <c r="I55" s="1"/>
  <c r="F56"/>
  <c r="I56" s="1"/>
  <c r="F57"/>
  <c r="F58"/>
  <c r="I58" s="1"/>
  <c r="H51"/>
  <c r="G51"/>
  <c r="G52"/>
  <c r="H50"/>
  <c r="M50"/>
  <c r="G50"/>
  <c r="L50"/>
  <c r="N50" s="1"/>
  <c r="G50" i="5" s="1"/>
  <c r="F50" i="4"/>
  <c r="U24" i="3"/>
  <c r="U31"/>
  <c r="U30"/>
  <c r="U29"/>
  <c r="U28"/>
  <c r="U27"/>
  <c r="U26"/>
  <c r="U25"/>
  <c r="U17"/>
  <c r="U15"/>
  <c r="U22"/>
  <c r="U21"/>
  <c r="U20"/>
  <c r="U19"/>
  <c r="U18"/>
  <c r="U16"/>
  <c r="U11"/>
  <c r="U39" s="1"/>
  <c r="U5"/>
  <c r="U9"/>
  <c r="U12"/>
  <c r="U40"/>
  <c r="U10"/>
  <c r="U38"/>
  <c r="U8"/>
  <c r="U36"/>
  <c r="U7"/>
  <c r="U6"/>
  <c r="U34" s="1"/>
  <c r="N31"/>
  <c r="N30"/>
  <c r="N29"/>
  <c r="N28"/>
  <c r="N27"/>
  <c r="N26"/>
  <c r="N25"/>
  <c r="N24"/>
  <c r="N22"/>
  <c r="N21"/>
  <c r="N20"/>
  <c r="N19"/>
  <c r="N18"/>
  <c r="N17"/>
  <c r="N15"/>
  <c r="N16"/>
  <c r="N12"/>
  <c r="N40" s="1"/>
  <c r="N11"/>
  <c r="N39" s="1"/>
  <c r="N10"/>
  <c r="N38"/>
  <c r="N9"/>
  <c r="N37"/>
  <c r="N8"/>
  <c r="N7"/>
  <c r="N35" s="1"/>
  <c r="N6"/>
  <c r="N5"/>
  <c r="N33" s="1"/>
  <c r="B11" i="102"/>
  <c r="C11"/>
  <c r="B12"/>
  <c r="C12"/>
  <c r="B21"/>
  <c r="C21"/>
  <c r="D21"/>
  <c r="B22"/>
  <c r="C22"/>
  <c r="D22"/>
  <c r="B16" i="93"/>
  <c r="C16"/>
  <c r="D16"/>
  <c r="B17"/>
  <c r="C17"/>
  <c r="D17"/>
  <c r="B18"/>
  <c r="C18"/>
  <c r="D18"/>
  <c r="B19"/>
  <c r="C19"/>
  <c r="D19"/>
  <c r="B21"/>
  <c r="C21"/>
  <c r="D21"/>
  <c r="B22"/>
  <c r="C22"/>
  <c r="D22"/>
  <c r="B23"/>
  <c r="C23"/>
  <c r="D23"/>
  <c r="B24"/>
  <c r="C24"/>
  <c r="D24"/>
  <c r="B40"/>
  <c r="C40"/>
  <c r="D40"/>
  <c r="B41"/>
  <c r="C41"/>
  <c r="D41"/>
  <c r="B42"/>
  <c r="C42"/>
  <c r="D42"/>
  <c r="B43"/>
  <c r="C43"/>
  <c r="D43"/>
  <c r="B45"/>
  <c r="C45"/>
  <c r="D45"/>
  <c r="B46"/>
  <c r="C46"/>
  <c r="D46"/>
  <c r="B47"/>
  <c r="C47"/>
  <c r="D47"/>
  <c r="B48"/>
  <c r="C48"/>
  <c r="D48"/>
  <c r="B30" i="87"/>
  <c r="C30"/>
  <c r="D30"/>
  <c r="B32"/>
  <c r="C32"/>
  <c r="D32"/>
  <c r="E32"/>
  <c r="B31"/>
  <c r="C31"/>
  <c r="D31"/>
  <c r="E31"/>
  <c r="B33"/>
  <c r="C33"/>
  <c r="D33"/>
  <c r="B35"/>
  <c r="C35"/>
  <c r="D35"/>
  <c r="B37"/>
  <c r="C37"/>
  <c r="D37"/>
  <c r="E37"/>
  <c r="B36"/>
  <c r="C36"/>
  <c r="D36"/>
  <c r="E36"/>
  <c r="B38"/>
  <c r="C38"/>
  <c r="D38"/>
  <c r="B46"/>
  <c r="C46"/>
  <c r="D46"/>
  <c r="E46"/>
  <c r="B47"/>
  <c r="C47"/>
  <c r="D47"/>
  <c r="E47"/>
  <c r="B54"/>
  <c r="C54"/>
  <c r="D54"/>
  <c r="E54"/>
  <c r="B55"/>
  <c r="C55"/>
  <c r="D55"/>
  <c r="E55"/>
  <c r="B50"/>
  <c r="C50"/>
  <c r="D50"/>
  <c r="E50"/>
  <c r="B51"/>
  <c r="C51"/>
  <c r="D51"/>
  <c r="E51"/>
  <c r="C13" i="17"/>
  <c r="D13"/>
  <c r="E13"/>
  <c r="F13"/>
  <c r="G13"/>
  <c r="D16"/>
  <c r="E16"/>
  <c r="F16"/>
  <c r="G16"/>
  <c r="D18"/>
  <c r="E18"/>
  <c r="F18"/>
  <c r="G18"/>
  <c r="D20"/>
  <c r="E20"/>
  <c r="F20"/>
  <c r="G20"/>
  <c r="C32"/>
  <c r="D32"/>
  <c r="E32"/>
  <c r="F32"/>
  <c r="G32"/>
  <c r="L31" i="26"/>
  <c r="L32"/>
  <c r="T33" i="24"/>
  <c r="S33"/>
  <c r="R33"/>
  <c r="Q33"/>
  <c r="M33"/>
  <c r="L33"/>
  <c r="K33"/>
  <c r="J33"/>
  <c r="T31"/>
  <c r="S31"/>
  <c r="R31"/>
  <c r="Q31"/>
  <c r="M31"/>
  <c r="L31"/>
  <c r="K31"/>
  <c r="J31"/>
  <c r="F4" i="4"/>
  <c r="G4"/>
  <c r="H4"/>
  <c r="K4"/>
  <c r="L4"/>
  <c r="M4"/>
  <c r="F5"/>
  <c r="G5"/>
  <c r="H5"/>
  <c r="K5"/>
  <c r="L5"/>
  <c r="M5"/>
  <c r="F6"/>
  <c r="G6"/>
  <c r="H6"/>
  <c r="K6"/>
  <c r="L6"/>
  <c r="M6"/>
  <c r="F7"/>
  <c r="G7"/>
  <c r="H7"/>
  <c r="K7"/>
  <c r="L7"/>
  <c r="M7"/>
  <c r="F8"/>
  <c r="G8"/>
  <c r="H8"/>
  <c r="K8"/>
  <c r="L8"/>
  <c r="M8"/>
  <c r="F9"/>
  <c r="G9"/>
  <c r="H9"/>
  <c r="K9"/>
  <c r="L9"/>
  <c r="M9"/>
  <c r="F10"/>
  <c r="G10"/>
  <c r="H10"/>
  <c r="K10"/>
  <c r="L10"/>
  <c r="M10"/>
  <c r="F11"/>
  <c r="G11"/>
  <c r="H11"/>
  <c r="K11"/>
  <c r="L11"/>
  <c r="M11"/>
  <c r="F12"/>
  <c r="G12"/>
  <c r="H12"/>
  <c r="K12"/>
  <c r="L12"/>
  <c r="M12"/>
  <c r="F13"/>
  <c r="G13"/>
  <c r="H13"/>
  <c r="K13"/>
  <c r="L13"/>
  <c r="M13"/>
  <c r="F14"/>
  <c r="G14"/>
  <c r="H14"/>
  <c r="K14"/>
  <c r="L14"/>
  <c r="M14"/>
  <c r="F15"/>
  <c r="G15"/>
  <c r="H15"/>
  <c r="K15"/>
  <c r="L15"/>
  <c r="M15"/>
  <c r="F16"/>
  <c r="G16"/>
  <c r="H16"/>
  <c r="K16"/>
  <c r="L16"/>
  <c r="M16"/>
  <c r="F17"/>
  <c r="G17"/>
  <c r="H17"/>
  <c r="K17"/>
  <c r="L17"/>
  <c r="M17"/>
  <c r="F18"/>
  <c r="G18"/>
  <c r="H18"/>
  <c r="K18"/>
  <c r="L18"/>
  <c r="M18"/>
  <c r="F19"/>
  <c r="G19"/>
  <c r="H19"/>
  <c r="K19"/>
  <c r="L19"/>
  <c r="M19"/>
  <c r="F20"/>
  <c r="G20"/>
  <c r="H20"/>
  <c r="K20"/>
  <c r="L20"/>
  <c r="M20"/>
  <c r="F21"/>
  <c r="G21"/>
  <c r="H21"/>
  <c r="K21"/>
  <c r="L21"/>
  <c r="M21"/>
  <c r="F22"/>
  <c r="G22"/>
  <c r="H22"/>
  <c r="K22"/>
  <c r="L22"/>
  <c r="M22"/>
  <c r="F23"/>
  <c r="G23"/>
  <c r="H23"/>
  <c r="K23"/>
  <c r="L23"/>
  <c r="M23"/>
  <c r="F24"/>
  <c r="G24"/>
  <c r="H24"/>
  <c r="K24"/>
  <c r="L24"/>
  <c r="M24"/>
  <c r="F25"/>
  <c r="G25"/>
  <c r="H25"/>
  <c r="K25"/>
  <c r="L25"/>
  <c r="M25"/>
  <c r="F26"/>
  <c r="G26"/>
  <c r="H26"/>
  <c r="K26"/>
  <c r="L26"/>
  <c r="M26"/>
  <c r="B33" i="5"/>
  <c r="C33"/>
  <c r="D33"/>
  <c r="E33"/>
  <c r="F33"/>
  <c r="B34"/>
  <c r="C34"/>
  <c r="D34"/>
  <c r="E34"/>
  <c r="F34"/>
  <c r="B43"/>
  <c r="B44"/>
  <c r="B45"/>
  <c r="C43"/>
  <c r="C44"/>
  <c r="C45"/>
  <c r="D43"/>
  <c r="D44"/>
  <c r="D45"/>
  <c r="E43"/>
  <c r="E46" s="1"/>
  <c r="F43"/>
  <c r="E44"/>
  <c r="E45"/>
  <c r="F44"/>
  <c r="F45"/>
  <c r="B47"/>
  <c r="B48"/>
  <c r="B49"/>
  <c r="C47"/>
  <c r="C48"/>
  <c r="C49"/>
  <c r="D47"/>
  <c r="D48"/>
  <c r="D49"/>
  <c r="E47"/>
  <c r="F47"/>
  <c r="E48"/>
  <c r="F48"/>
  <c r="F49"/>
  <c r="F50" s="1"/>
  <c r="E49"/>
  <c r="J29" i="24"/>
  <c r="J35" s="1"/>
  <c r="K29"/>
  <c r="K35" s="1"/>
  <c r="L29"/>
  <c r="L35" s="1"/>
  <c r="M29"/>
  <c r="M35" s="1"/>
  <c r="Q29"/>
  <c r="Q35" s="1"/>
  <c r="R29"/>
  <c r="R35" s="1"/>
  <c r="S29"/>
  <c r="S35" s="1"/>
  <c r="T29"/>
  <c r="T35" s="1"/>
  <c r="I5" i="14"/>
  <c r="J5"/>
  <c r="K5"/>
  <c r="L5"/>
  <c r="M5"/>
  <c r="P5"/>
  <c r="Q5"/>
  <c r="R5"/>
  <c r="S5"/>
  <c r="T5"/>
  <c r="I6"/>
  <c r="J6"/>
  <c r="K6"/>
  <c r="L6"/>
  <c r="M6"/>
  <c r="P6"/>
  <c r="Q6"/>
  <c r="R6"/>
  <c r="S6"/>
  <c r="T6"/>
  <c r="I7"/>
  <c r="J7"/>
  <c r="K7"/>
  <c r="L7"/>
  <c r="M7"/>
  <c r="P7"/>
  <c r="Q7"/>
  <c r="R7"/>
  <c r="S7"/>
  <c r="T7"/>
  <c r="I8"/>
  <c r="J8"/>
  <c r="K8"/>
  <c r="L8"/>
  <c r="M8"/>
  <c r="P8"/>
  <c r="Q8"/>
  <c r="R8"/>
  <c r="S8"/>
  <c r="T8"/>
  <c r="I9"/>
  <c r="J9"/>
  <c r="K9"/>
  <c r="L9"/>
  <c r="M9"/>
  <c r="P9"/>
  <c r="Q9"/>
  <c r="R9"/>
  <c r="S9"/>
  <c r="T9"/>
  <c r="I10"/>
  <c r="J10"/>
  <c r="K10"/>
  <c r="L10"/>
  <c r="M10"/>
  <c r="P10"/>
  <c r="Q10"/>
  <c r="R10"/>
  <c r="S10"/>
  <c r="T10"/>
  <c r="I12"/>
  <c r="J12"/>
  <c r="K12"/>
  <c r="L12"/>
  <c r="M12"/>
  <c r="P12"/>
  <c r="Q12"/>
  <c r="R12"/>
  <c r="S12"/>
  <c r="T12"/>
  <c r="I13"/>
  <c r="J13"/>
  <c r="K13"/>
  <c r="L13"/>
  <c r="M13"/>
  <c r="P13"/>
  <c r="Q13"/>
  <c r="R13"/>
  <c r="S13"/>
  <c r="T13"/>
  <c r="I14"/>
  <c r="J14"/>
  <c r="K14"/>
  <c r="L14"/>
  <c r="M14"/>
  <c r="P14"/>
  <c r="Q14"/>
  <c r="R14"/>
  <c r="S14"/>
  <c r="T14"/>
  <c r="I15"/>
  <c r="J15"/>
  <c r="K15"/>
  <c r="L15"/>
  <c r="M15"/>
  <c r="P15"/>
  <c r="Q15"/>
  <c r="R15"/>
  <c r="S15"/>
  <c r="T15"/>
  <c r="I16"/>
  <c r="J16"/>
  <c r="K16"/>
  <c r="L16"/>
  <c r="M16"/>
  <c r="P16"/>
  <c r="Q16"/>
  <c r="R16"/>
  <c r="S16"/>
  <c r="T16"/>
  <c r="I17"/>
  <c r="J17"/>
  <c r="K17"/>
  <c r="L17"/>
  <c r="M17"/>
  <c r="P17"/>
  <c r="Q17"/>
  <c r="R17"/>
  <c r="S17"/>
  <c r="T17"/>
  <c r="I19"/>
  <c r="J19"/>
  <c r="K19"/>
  <c r="L19"/>
  <c r="L26"/>
  <c r="M19"/>
  <c r="P19"/>
  <c r="Q19"/>
  <c r="Q26" s="1"/>
  <c r="R19"/>
  <c r="S19"/>
  <c r="T19"/>
  <c r="I20"/>
  <c r="J20"/>
  <c r="J27" s="1"/>
  <c r="K20"/>
  <c r="L20"/>
  <c r="M20"/>
  <c r="P20"/>
  <c r="Q20"/>
  <c r="R20"/>
  <c r="R27"/>
  <c r="S20"/>
  <c r="T20"/>
  <c r="I21"/>
  <c r="J21"/>
  <c r="K21"/>
  <c r="K28" s="1"/>
  <c r="L21"/>
  <c r="M21"/>
  <c r="P21"/>
  <c r="Q21"/>
  <c r="R21"/>
  <c r="S21"/>
  <c r="T21"/>
  <c r="I22"/>
  <c r="J22"/>
  <c r="K22"/>
  <c r="L22"/>
  <c r="M22"/>
  <c r="P22"/>
  <c r="P29" s="1"/>
  <c r="Q22"/>
  <c r="R22"/>
  <c r="S22"/>
  <c r="S29" s="1"/>
  <c r="T22"/>
  <c r="I23"/>
  <c r="J23"/>
  <c r="J30"/>
  <c r="K23"/>
  <c r="L23"/>
  <c r="M23"/>
  <c r="P23"/>
  <c r="Q23"/>
  <c r="R23"/>
  <c r="S23"/>
  <c r="T23"/>
  <c r="I24"/>
  <c r="J24"/>
  <c r="K24"/>
  <c r="L24"/>
  <c r="M24"/>
  <c r="P24"/>
  <c r="Q24"/>
  <c r="R24"/>
  <c r="S24"/>
  <c r="T24"/>
  <c r="K26"/>
  <c r="S26"/>
  <c r="S27"/>
  <c r="T27"/>
  <c r="M28"/>
  <c r="J29"/>
  <c r="K30"/>
  <c r="I31"/>
  <c r="I6" i="26"/>
  <c r="I12"/>
  <c r="J6"/>
  <c r="J12"/>
  <c r="K6"/>
  <c r="L6"/>
  <c r="L12" s="1"/>
  <c r="M6"/>
  <c r="M12" s="1"/>
  <c r="P6"/>
  <c r="P12" s="1"/>
  <c r="Q6"/>
  <c r="Q12" s="1"/>
  <c r="R6"/>
  <c r="R12" s="1"/>
  <c r="S6"/>
  <c r="S12" s="1"/>
  <c r="T6"/>
  <c r="T12" s="1"/>
  <c r="I7"/>
  <c r="I13" s="1"/>
  <c r="J7"/>
  <c r="J13" s="1"/>
  <c r="K7"/>
  <c r="K13" s="1"/>
  <c r="L7"/>
  <c r="L13" s="1"/>
  <c r="M7"/>
  <c r="M13" s="1"/>
  <c r="P7"/>
  <c r="Q7"/>
  <c r="Q13" s="1"/>
  <c r="R7"/>
  <c r="R13" s="1"/>
  <c r="S7"/>
  <c r="S13" s="1"/>
  <c r="T7"/>
  <c r="T13" s="1"/>
  <c r="I8"/>
  <c r="I14"/>
  <c r="J8"/>
  <c r="J14"/>
  <c r="K8"/>
  <c r="K14"/>
  <c r="L8"/>
  <c r="L14"/>
  <c r="M8"/>
  <c r="M14"/>
  <c r="P8"/>
  <c r="P14"/>
  <c r="Q8"/>
  <c r="Q14"/>
  <c r="R8"/>
  <c r="R14"/>
  <c r="S8"/>
  <c r="S14"/>
  <c r="T8"/>
  <c r="T14"/>
  <c r="I9"/>
  <c r="I15"/>
  <c r="J9"/>
  <c r="J15"/>
  <c r="K9"/>
  <c r="L9"/>
  <c r="L15" s="1"/>
  <c r="M9"/>
  <c r="M15" s="1"/>
  <c r="P9"/>
  <c r="P15" s="1"/>
  <c r="Q9"/>
  <c r="Q15" s="1"/>
  <c r="R9"/>
  <c r="R15" s="1"/>
  <c r="S9"/>
  <c r="S15" s="1"/>
  <c r="T9"/>
  <c r="T15" s="1"/>
  <c r="I10"/>
  <c r="J10"/>
  <c r="K10"/>
  <c r="L10"/>
  <c r="L16" s="1"/>
  <c r="M10"/>
  <c r="M16" s="1"/>
  <c r="P10"/>
  <c r="Q10"/>
  <c r="R10"/>
  <c r="R16" s="1"/>
  <c r="S10"/>
  <c r="T10"/>
  <c r="T16" s="1"/>
  <c r="B12"/>
  <c r="C12"/>
  <c r="D12"/>
  <c r="E12"/>
  <c r="F12"/>
  <c r="K12"/>
  <c r="B13"/>
  <c r="C13"/>
  <c r="D13"/>
  <c r="E13"/>
  <c r="F13"/>
  <c r="P13"/>
  <c r="B14"/>
  <c r="C14"/>
  <c r="D14"/>
  <c r="E14"/>
  <c r="F14"/>
  <c r="B15"/>
  <c r="C15"/>
  <c r="D15"/>
  <c r="E15"/>
  <c r="F15"/>
  <c r="K15"/>
  <c r="B16"/>
  <c r="C16"/>
  <c r="D16"/>
  <c r="E16"/>
  <c r="F16"/>
  <c r="Q16"/>
  <c r="I24"/>
  <c r="J24"/>
  <c r="K24"/>
  <c r="L24"/>
  <c r="M24"/>
  <c r="P24"/>
  <c r="Q24"/>
  <c r="R24"/>
  <c r="S24"/>
  <c r="T24"/>
  <c r="I25"/>
  <c r="J25"/>
  <c r="K25"/>
  <c r="L25"/>
  <c r="L37" s="1"/>
  <c r="M25"/>
  <c r="P25"/>
  <c r="Q25"/>
  <c r="R25"/>
  <c r="S25"/>
  <c r="T25"/>
  <c r="I26"/>
  <c r="J26"/>
  <c r="K26"/>
  <c r="L26"/>
  <c r="L38" s="1"/>
  <c r="M26"/>
  <c r="P26"/>
  <c r="Q26"/>
  <c r="R26"/>
  <c r="S26"/>
  <c r="T26"/>
  <c r="I27"/>
  <c r="J27"/>
  <c r="K27"/>
  <c r="L27"/>
  <c r="M27"/>
  <c r="P27"/>
  <c r="Q27"/>
  <c r="R27"/>
  <c r="S27"/>
  <c r="T27"/>
  <c r="I28"/>
  <c r="J28"/>
  <c r="K28"/>
  <c r="L28"/>
  <c r="M28"/>
  <c r="P28"/>
  <c r="Q28"/>
  <c r="R28"/>
  <c r="S28"/>
  <c r="T28"/>
  <c r="I30"/>
  <c r="I36" s="1"/>
  <c r="J30"/>
  <c r="J36" s="1"/>
  <c r="K30"/>
  <c r="K36"/>
  <c r="L30"/>
  <c r="L36"/>
  <c r="M30"/>
  <c r="M36" s="1"/>
  <c r="P30"/>
  <c r="P36" s="1"/>
  <c r="Q30"/>
  <c r="Q36" s="1"/>
  <c r="R30"/>
  <c r="S30"/>
  <c r="S36"/>
  <c r="T30"/>
  <c r="T36"/>
  <c r="I31"/>
  <c r="I37"/>
  <c r="J31"/>
  <c r="J37" s="1"/>
  <c r="K31"/>
  <c r="K37" s="1"/>
  <c r="M31"/>
  <c r="M37"/>
  <c r="P31"/>
  <c r="P37" s="1"/>
  <c r="Q31"/>
  <c r="Q37" s="1"/>
  <c r="R31"/>
  <c r="R37" s="1"/>
  <c r="S31"/>
  <c r="S37" s="1"/>
  <c r="T31"/>
  <c r="T37" s="1"/>
  <c r="I32"/>
  <c r="I38" s="1"/>
  <c r="J32"/>
  <c r="J38" s="1"/>
  <c r="K32"/>
  <c r="K38" s="1"/>
  <c r="M32"/>
  <c r="M38" s="1"/>
  <c r="P32"/>
  <c r="P38" s="1"/>
  <c r="Q32"/>
  <c r="R32"/>
  <c r="R38" s="1"/>
  <c r="S32"/>
  <c r="S38" s="1"/>
  <c r="T32"/>
  <c r="T38" s="1"/>
  <c r="I33"/>
  <c r="I39" s="1"/>
  <c r="J33"/>
  <c r="J39" s="1"/>
  <c r="K33"/>
  <c r="K39" s="1"/>
  <c r="L33"/>
  <c r="L39" s="1"/>
  <c r="M33"/>
  <c r="M39" s="1"/>
  <c r="P33"/>
  <c r="P39" s="1"/>
  <c r="Q33"/>
  <c r="Q39" s="1"/>
  <c r="R33"/>
  <c r="S33"/>
  <c r="S39" s="1"/>
  <c r="T33"/>
  <c r="T39" s="1"/>
  <c r="I34"/>
  <c r="J34"/>
  <c r="K34"/>
  <c r="L34"/>
  <c r="M34"/>
  <c r="P34"/>
  <c r="Q34"/>
  <c r="R34"/>
  <c r="S34"/>
  <c r="T34"/>
  <c r="R36"/>
  <c r="R39"/>
  <c r="I40"/>
  <c r="J40"/>
  <c r="K40"/>
  <c r="L40"/>
  <c r="M40"/>
  <c r="P40"/>
  <c r="Q40"/>
  <c r="R40"/>
  <c r="S40"/>
  <c r="T40"/>
  <c r="I6" i="25"/>
  <c r="J6"/>
  <c r="K6"/>
  <c r="L6"/>
  <c r="M6"/>
  <c r="P6"/>
  <c r="Q6"/>
  <c r="R6"/>
  <c r="S6"/>
  <c r="T6"/>
  <c r="I7"/>
  <c r="J7"/>
  <c r="K7"/>
  <c r="L7"/>
  <c r="M7"/>
  <c r="P7"/>
  <c r="Q7"/>
  <c r="R7"/>
  <c r="S7"/>
  <c r="T7"/>
  <c r="I8"/>
  <c r="J8"/>
  <c r="K8"/>
  <c r="L8"/>
  <c r="M8"/>
  <c r="P8"/>
  <c r="Q8"/>
  <c r="R8"/>
  <c r="S8"/>
  <c r="T8"/>
  <c r="I9"/>
  <c r="J9"/>
  <c r="K9"/>
  <c r="L9"/>
  <c r="M9"/>
  <c r="P9"/>
  <c r="Q9"/>
  <c r="R9"/>
  <c r="S9"/>
  <c r="T9"/>
  <c r="I10"/>
  <c r="J10"/>
  <c r="K10"/>
  <c r="L10"/>
  <c r="M10"/>
  <c r="P10"/>
  <c r="Q10"/>
  <c r="R10"/>
  <c r="S10"/>
  <c r="T10"/>
  <c r="I12"/>
  <c r="J12"/>
  <c r="K12"/>
  <c r="L12"/>
  <c r="M12"/>
  <c r="P12"/>
  <c r="Q12"/>
  <c r="R12"/>
  <c r="S12"/>
  <c r="T12"/>
  <c r="I13"/>
  <c r="J13"/>
  <c r="K13"/>
  <c r="L13"/>
  <c r="M13"/>
  <c r="P13"/>
  <c r="Q13"/>
  <c r="R13"/>
  <c r="S13"/>
  <c r="T13"/>
  <c r="I14"/>
  <c r="J14"/>
  <c r="K14"/>
  <c r="L14"/>
  <c r="M14"/>
  <c r="P14"/>
  <c r="Q14"/>
  <c r="R14"/>
  <c r="S14"/>
  <c r="T14"/>
  <c r="I15"/>
  <c r="J15"/>
  <c r="K15"/>
  <c r="L15"/>
  <c r="M15"/>
  <c r="P15"/>
  <c r="P33" s="1"/>
  <c r="Q15"/>
  <c r="R15"/>
  <c r="S15"/>
  <c r="T15"/>
  <c r="I16"/>
  <c r="J16"/>
  <c r="K16"/>
  <c r="L16"/>
  <c r="M16"/>
  <c r="P16"/>
  <c r="Q16"/>
  <c r="R16"/>
  <c r="S16"/>
  <c r="T16"/>
  <c r="I18"/>
  <c r="J18"/>
  <c r="K18"/>
  <c r="L18"/>
  <c r="M18"/>
  <c r="P18"/>
  <c r="Q18"/>
  <c r="R18"/>
  <c r="S18"/>
  <c r="T18"/>
  <c r="I19"/>
  <c r="J19"/>
  <c r="K19"/>
  <c r="L19"/>
  <c r="M19"/>
  <c r="P19"/>
  <c r="Q19"/>
  <c r="R19"/>
  <c r="S19"/>
  <c r="T19"/>
  <c r="I20"/>
  <c r="J20"/>
  <c r="K20"/>
  <c r="L20"/>
  <c r="M20"/>
  <c r="P20"/>
  <c r="Q20"/>
  <c r="R20"/>
  <c r="S20"/>
  <c r="T20"/>
  <c r="I21"/>
  <c r="J21"/>
  <c r="K21"/>
  <c r="L21"/>
  <c r="M21"/>
  <c r="P21"/>
  <c r="Q21"/>
  <c r="R21"/>
  <c r="S21"/>
  <c r="T21"/>
  <c r="I22"/>
  <c r="J22"/>
  <c r="K22"/>
  <c r="L22"/>
  <c r="M22"/>
  <c r="P22"/>
  <c r="Q22"/>
  <c r="R22"/>
  <c r="S22"/>
  <c r="T22"/>
  <c r="I24"/>
  <c r="J24"/>
  <c r="K24"/>
  <c r="L24"/>
  <c r="L30" s="1"/>
  <c r="M24"/>
  <c r="P24"/>
  <c r="Q24"/>
  <c r="R24"/>
  <c r="S24"/>
  <c r="T24"/>
  <c r="I25"/>
  <c r="J25"/>
  <c r="K25"/>
  <c r="L25"/>
  <c r="L31" s="1"/>
  <c r="M25"/>
  <c r="P25"/>
  <c r="Q25"/>
  <c r="R25"/>
  <c r="S25"/>
  <c r="T25"/>
  <c r="I26"/>
  <c r="J26"/>
  <c r="K26"/>
  <c r="L26"/>
  <c r="M26"/>
  <c r="P26"/>
  <c r="Q26"/>
  <c r="Q32" s="1"/>
  <c r="R26"/>
  <c r="S26"/>
  <c r="T26"/>
  <c r="I27"/>
  <c r="J27"/>
  <c r="K27"/>
  <c r="L27"/>
  <c r="M27"/>
  <c r="P27"/>
  <c r="Q27"/>
  <c r="R27"/>
  <c r="S27"/>
  <c r="T27"/>
  <c r="I28"/>
  <c r="J28"/>
  <c r="K28"/>
  <c r="L28"/>
  <c r="M28"/>
  <c r="P28"/>
  <c r="Q28"/>
  <c r="R28"/>
  <c r="S28"/>
  <c r="T28"/>
  <c r="H30"/>
  <c r="H31"/>
  <c r="H32"/>
  <c r="L32"/>
  <c r="H33"/>
  <c r="H34"/>
  <c r="I34"/>
  <c r="J34"/>
  <c r="K34"/>
  <c r="L34"/>
  <c r="M34"/>
  <c r="P34"/>
  <c r="Q34"/>
  <c r="R34"/>
  <c r="S34"/>
  <c r="T34"/>
  <c r="F27" i="4"/>
  <c r="G27"/>
  <c r="H27"/>
  <c r="K27"/>
  <c r="L27"/>
  <c r="M27"/>
  <c r="F28"/>
  <c r="G28"/>
  <c r="H28"/>
  <c r="K28"/>
  <c r="L28"/>
  <c r="M28"/>
  <c r="F29"/>
  <c r="G29"/>
  <c r="H29"/>
  <c r="I29"/>
  <c r="K29"/>
  <c r="L29"/>
  <c r="M29"/>
  <c r="F30"/>
  <c r="G30"/>
  <c r="H30"/>
  <c r="K30"/>
  <c r="L30"/>
  <c r="M30"/>
  <c r="F31"/>
  <c r="G31"/>
  <c r="H31"/>
  <c r="K31"/>
  <c r="L31"/>
  <c r="M31"/>
  <c r="F32"/>
  <c r="G32"/>
  <c r="H32"/>
  <c r="K32"/>
  <c r="L32"/>
  <c r="M32"/>
  <c r="F33"/>
  <c r="G33"/>
  <c r="H33"/>
  <c r="K33"/>
  <c r="L33"/>
  <c r="M33"/>
  <c r="F34"/>
  <c r="G34"/>
  <c r="H34"/>
  <c r="K34"/>
  <c r="L34"/>
  <c r="M34"/>
  <c r="F35"/>
  <c r="G35"/>
  <c r="H35"/>
  <c r="K35"/>
  <c r="L35"/>
  <c r="M35"/>
  <c r="F36"/>
  <c r="G36"/>
  <c r="H36"/>
  <c r="K36"/>
  <c r="L36"/>
  <c r="M36"/>
  <c r="F37"/>
  <c r="I37" s="1"/>
  <c r="G37"/>
  <c r="H37"/>
  <c r="K37"/>
  <c r="L37"/>
  <c r="M37"/>
  <c r="F38"/>
  <c r="G38"/>
  <c r="H38"/>
  <c r="K38"/>
  <c r="L38"/>
  <c r="M38"/>
  <c r="F39"/>
  <c r="G39"/>
  <c r="H39"/>
  <c r="K39"/>
  <c r="L39"/>
  <c r="M39"/>
  <c r="F40"/>
  <c r="G40"/>
  <c r="H40"/>
  <c r="K40"/>
  <c r="L40"/>
  <c r="M40"/>
  <c r="E41"/>
  <c r="F41"/>
  <c r="G41"/>
  <c r="H41"/>
  <c r="K41"/>
  <c r="L41"/>
  <c r="M41"/>
  <c r="F42"/>
  <c r="G42"/>
  <c r="H42"/>
  <c r="K42"/>
  <c r="L42"/>
  <c r="M42"/>
  <c r="F43"/>
  <c r="G43"/>
  <c r="I43"/>
  <c r="H43"/>
  <c r="K43"/>
  <c r="L43"/>
  <c r="M43"/>
  <c r="F44"/>
  <c r="G44"/>
  <c r="H44"/>
  <c r="K44"/>
  <c r="L44"/>
  <c r="M44"/>
  <c r="F45"/>
  <c r="G45"/>
  <c r="H45"/>
  <c r="K45"/>
  <c r="L45"/>
  <c r="M45"/>
  <c r="F46"/>
  <c r="G46"/>
  <c r="H46"/>
  <c r="K46"/>
  <c r="L46"/>
  <c r="M46"/>
  <c r="N46" s="1"/>
  <c r="F47"/>
  <c r="G47"/>
  <c r="H47"/>
  <c r="K47"/>
  <c r="L47"/>
  <c r="M47"/>
  <c r="F48"/>
  <c r="G48"/>
  <c r="H48"/>
  <c r="K48"/>
  <c r="L48"/>
  <c r="M48"/>
  <c r="F49"/>
  <c r="G49"/>
  <c r="H49"/>
  <c r="K49"/>
  <c r="L49"/>
  <c r="M49"/>
  <c r="I5" i="3"/>
  <c r="J5"/>
  <c r="K5"/>
  <c r="L5"/>
  <c r="M5"/>
  <c r="P5"/>
  <c r="Q5"/>
  <c r="R5"/>
  <c r="S5"/>
  <c r="T5"/>
  <c r="I6"/>
  <c r="J6"/>
  <c r="K6"/>
  <c r="L6"/>
  <c r="M6"/>
  <c r="P6"/>
  <c r="Q6"/>
  <c r="R6"/>
  <c r="S6"/>
  <c r="T6"/>
  <c r="I7"/>
  <c r="J7"/>
  <c r="K7"/>
  <c r="L7"/>
  <c r="M7"/>
  <c r="P7"/>
  <c r="Q7"/>
  <c r="R7"/>
  <c r="S7"/>
  <c r="T7"/>
  <c r="I8"/>
  <c r="J8"/>
  <c r="K8"/>
  <c r="L8"/>
  <c r="M8"/>
  <c r="P8"/>
  <c r="Q8"/>
  <c r="R8"/>
  <c r="S8"/>
  <c r="T8"/>
  <c r="I9"/>
  <c r="J9"/>
  <c r="K9"/>
  <c r="L9"/>
  <c r="M9"/>
  <c r="P9"/>
  <c r="Q9"/>
  <c r="R9"/>
  <c r="S9"/>
  <c r="T9"/>
  <c r="I10"/>
  <c r="J10"/>
  <c r="K10"/>
  <c r="L10"/>
  <c r="M10"/>
  <c r="P10"/>
  <c r="Q10"/>
  <c r="R10"/>
  <c r="S10"/>
  <c r="T10"/>
  <c r="I11"/>
  <c r="J11"/>
  <c r="K11"/>
  <c r="L11"/>
  <c r="M11"/>
  <c r="P11"/>
  <c r="Q11"/>
  <c r="R11"/>
  <c r="S11"/>
  <c r="T11"/>
  <c r="I12"/>
  <c r="J12"/>
  <c r="K12"/>
  <c r="L12"/>
  <c r="M12"/>
  <c r="P12"/>
  <c r="Q12"/>
  <c r="R12"/>
  <c r="S12"/>
  <c r="T12"/>
  <c r="I15"/>
  <c r="J15"/>
  <c r="K15"/>
  <c r="L15"/>
  <c r="M15"/>
  <c r="P15"/>
  <c r="Q15"/>
  <c r="R15"/>
  <c r="S15"/>
  <c r="T15"/>
  <c r="I16"/>
  <c r="J16"/>
  <c r="K16"/>
  <c r="L16"/>
  <c r="M16"/>
  <c r="P16"/>
  <c r="Q16"/>
  <c r="R16"/>
  <c r="S16"/>
  <c r="T16"/>
  <c r="I17"/>
  <c r="J17"/>
  <c r="K17"/>
  <c r="L17"/>
  <c r="M17"/>
  <c r="P17"/>
  <c r="Q17"/>
  <c r="R17"/>
  <c r="S17"/>
  <c r="T17"/>
  <c r="I18"/>
  <c r="J18"/>
  <c r="K18"/>
  <c r="L18"/>
  <c r="M18"/>
  <c r="P18"/>
  <c r="Q18"/>
  <c r="R18"/>
  <c r="S18"/>
  <c r="T18"/>
  <c r="I19"/>
  <c r="J19"/>
  <c r="K19"/>
  <c r="L19"/>
  <c r="M19"/>
  <c r="P19"/>
  <c r="Q19"/>
  <c r="R19"/>
  <c r="S19"/>
  <c r="T19"/>
  <c r="I20"/>
  <c r="J20"/>
  <c r="K20"/>
  <c r="L20"/>
  <c r="M20"/>
  <c r="P20"/>
  <c r="Q20"/>
  <c r="R20"/>
  <c r="S20"/>
  <c r="T20"/>
  <c r="I21"/>
  <c r="J21"/>
  <c r="K21"/>
  <c r="L21"/>
  <c r="M21"/>
  <c r="P21"/>
  <c r="Q21"/>
  <c r="R21"/>
  <c r="S21"/>
  <c r="T21"/>
  <c r="I22"/>
  <c r="J22"/>
  <c r="K22"/>
  <c r="L22"/>
  <c r="M22"/>
  <c r="P22"/>
  <c r="Q22"/>
  <c r="R22"/>
  <c r="S22"/>
  <c r="T22"/>
  <c r="I24"/>
  <c r="J24"/>
  <c r="K24"/>
  <c r="L24"/>
  <c r="M24"/>
  <c r="P24"/>
  <c r="Q24"/>
  <c r="R24"/>
  <c r="S24"/>
  <c r="T24"/>
  <c r="I25"/>
  <c r="J25"/>
  <c r="K25"/>
  <c r="L25"/>
  <c r="M25"/>
  <c r="P25"/>
  <c r="Q25"/>
  <c r="R25"/>
  <c r="S25"/>
  <c r="T25"/>
  <c r="I26"/>
  <c r="J26"/>
  <c r="K26"/>
  <c r="L26"/>
  <c r="M26"/>
  <c r="P26"/>
  <c r="Q26"/>
  <c r="R26"/>
  <c r="S26"/>
  <c r="T26"/>
  <c r="I27"/>
  <c r="J27"/>
  <c r="K27"/>
  <c r="L27"/>
  <c r="M27"/>
  <c r="P27"/>
  <c r="Q27"/>
  <c r="R27"/>
  <c r="S27"/>
  <c r="T27"/>
  <c r="I28"/>
  <c r="J28"/>
  <c r="K28"/>
  <c r="L28"/>
  <c r="M28"/>
  <c r="P28"/>
  <c r="Q28"/>
  <c r="R28"/>
  <c r="S28"/>
  <c r="T28"/>
  <c r="I29"/>
  <c r="J29"/>
  <c r="K29"/>
  <c r="L29"/>
  <c r="M29"/>
  <c r="P29"/>
  <c r="Q29"/>
  <c r="R29"/>
  <c r="S29"/>
  <c r="T29"/>
  <c r="I30"/>
  <c r="J30"/>
  <c r="K30"/>
  <c r="L30"/>
  <c r="M30"/>
  <c r="P30"/>
  <c r="Q30"/>
  <c r="R30"/>
  <c r="S30"/>
  <c r="T30"/>
  <c r="I31"/>
  <c r="J31"/>
  <c r="K31"/>
  <c r="L31"/>
  <c r="M31"/>
  <c r="P31"/>
  <c r="Q31"/>
  <c r="R31"/>
  <c r="S31"/>
  <c r="T31"/>
  <c r="I33"/>
  <c r="J33"/>
  <c r="K33"/>
  <c r="L33"/>
  <c r="M33"/>
  <c r="P33"/>
  <c r="Q33"/>
  <c r="R33"/>
  <c r="S33"/>
  <c r="T33"/>
  <c r="I34"/>
  <c r="J34"/>
  <c r="K34"/>
  <c r="L34"/>
  <c r="M34"/>
  <c r="P34"/>
  <c r="Q34"/>
  <c r="R34"/>
  <c r="S34"/>
  <c r="T34"/>
  <c r="I35"/>
  <c r="J35"/>
  <c r="K35"/>
  <c r="L35"/>
  <c r="M35"/>
  <c r="P35"/>
  <c r="Q35"/>
  <c r="R35"/>
  <c r="S35"/>
  <c r="T35"/>
  <c r="I36"/>
  <c r="J36"/>
  <c r="K36"/>
  <c r="L36"/>
  <c r="M36"/>
  <c r="P36"/>
  <c r="Q36"/>
  <c r="R36"/>
  <c r="S36"/>
  <c r="T36"/>
  <c r="I37"/>
  <c r="J37"/>
  <c r="K37"/>
  <c r="L37"/>
  <c r="M37"/>
  <c r="P37"/>
  <c r="Q37"/>
  <c r="R37"/>
  <c r="S37"/>
  <c r="T37"/>
  <c r="I38"/>
  <c r="J38"/>
  <c r="K38"/>
  <c r="L38"/>
  <c r="M38"/>
  <c r="P38"/>
  <c r="Q38"/>
  <c r="R38"/>
  <c r="S38"/>
  <c r="T38"/>
  <c r="I39"/>
  <c r="J39"/>
  <c r="K39"/>
  <c r="L39"/>
  <c r="M39"/>
  <c r="P39"/>
  <c r="Q39"/>
  <c r="R39"/>
  <c r="S39"/>
  <c r="T39"/>
  <c r="I40"/>
  <c r="J40"/>
  <c r="K40"/>
  <c r="L40"/>
  <c r="M40"/>
  <c r="P40"/>
  <c r="Q40"/>
  <c r="R40"/>
  <c r="S40"/>
  <c r="T40"/>
  <c r="I7" i="2"/>
  <c r="J7"/>
  <c r="K7"/>
  <c r="L7"/>
  <c r="M7"/>
  <c r="R7"/>
  <c r="S7"/>
  <c r="T7"/>
  <c r="B8"/>
  <c r="J8"/>
  <c r="K8"/>
  <c r="L8"/>
  <c r="L12"/>
  <c r="L14"/>
  <c r="M8"/>
  <c r="S8"/>
  <c r="T8"/>
  <c r="I9"/>
  <c r="J9"/>
  <c r="K9"/>
  <c r="L9"/>
  <c r="M9"/>
  <c r="P9"/>
  <c r="P8" s="1"/>
  <c r="Q9"/>
  <c r="S9"/>
  <c r="T9"/>
  <c r="I12"/>
  <c r="J12"/>
  <c r="J26" s="1"/>
  <c r="K12"/>
  <c r="M12"/>
  <c r="P12"/>
  <c r="Q12"/>
  <c r="R12"/>
  <c r="S12"/>
  <c r="T12"/>
  <c r="I13"/>
  <c r="J13"/>
  <c r="K13"/>
  <c r="M13"/>
  <c r="Q13"/>
  <c r="R13"/>
  <c r="S13"/>
  <c r="T13"/>
  <c r="I14"/>
  <c r="J14"/>
  <c r="K14"/>
  <c r="M14"/>
  <c r="P14"/>
  <c r="Q14"/>
  <c r="R14"/>
  <c r="S14"/>
  <c r="T14"/>
  <c r="I17"/>
  <c r="J17"/>
  <c r="K17"/>
  <c r="L17"/>
  <c r="M17"/>
  <c r="P17"/>
  <c r="Q17"/>
  <c r="R17"/>
  <c r="S17"/>
  <c r="T17"/>
  <c r="I18"/>
  <c r="J18"/>
  <c r="K18"/>
  <c r="L18"/>
  <c r="M18"/>
  <c r="P18"/>
  <c r="R18"/>
  <c r="S18"/>
  <c r="T18"/>
  <c r="I19"/>
  <c r="J19"/>
  <c r="K19"/>
  <c r="L19"/>
  <c r="M19"/>
  <c r="P19"/>
  <c r="Q19"/>
  <c r="R19"/>
  <c r="S19"/>
  <c r="T19"/>
  <c r="K22"/>
  <c r="L22"/>
  <c r="L26" s="1"/>
  <c r="M22"/>
  <c r="S22"/>
  <c r="T22"/>
  <c r="K23"/>
  <c r="L23"/>
  <c r="M23"/>
  <c r="R23"/>
  <c r="S23"/>
  <c r="T23"/>
  <c r="K24"/>
  <c r="L28"/>
  <c r="M24"/>
  <c r="S24"/>
  <c r="T24"/>
  <c r="P26"/>
  <c r="Q26"/>
  <c r="P27"/>
  <c r="I28"/>
  <c r="J28"/>
  <c r="K28"/>
  <c r="M28"/>
  <c r="P28"/>
  <c r="Q28"/>
  <c r="R28"/>
  <c r="S28"/>
  <c r="T28"/>
  <c r="I39"/>
  <c r="I43" s="1"/>
  <c r="J39"/>
  <c r="J43" s="1"/>
  <c r="K39"/>
  <c r="K43" s="1"/>
  <c r="L39"/>
  <c r="L43" s="1"/>
  <c r="M39"/>
  <c r="M43" s="1"/>
  <c r="O39"/>
  <c r="O43" s="1"/>
  <c r="Q39"/>
  <c r="Q43" s="1"/>
  <c r="R39"/>
  <c r="R43" s="1"/>
  <c r="S39"/>
  <c r="S43" s="1"/>
  <c r="T39"/>
  <c r="T43" s="1"/>
  <c r="I40"/>
  <c r="K40"/>
  <c r="K44" s="1"/>
  <c r="L40"/>
  <c r="L44" s="1"/>
  <c r="M40"/>
  <c r="M44" s="1"/>
  <c r="Q40"/>
  <c r="Q44" s="1"/>
  <c r="R40"/>
  <c r="R44" s="1"/>
  <c r="T40"/>
  <c r="T44" s="1"/>
  <c r="I41"/>
  <c r="J41"/>
  <c r="K41"/>
  <c r="L41"/>
  <c r="M41"/>
  <c r="O41"/>
  <c r="Q41"/>
  <c r="R41"/>
  <c r="S41"/>
  <c r="T41"/>
  <c r="I45"/>
  <c r="J45"/>
  <c r="K45"/>
  <c r="L45"/>
  <c r="M45"/>
  <c r="O45"/>
  <c r="Q45"/>
  <c r="R45"/>
  <c r="S45"/>
  <c r="T45"/>
  <c r="I54"/>
  <c r="J54"/>
  <c r="J63" s="1"/>
  <c r="K54"/>
  <c r="L54"/>
  <c r="M54"/>
  <c r="O54"/>
  <c r="Q54"/>
  <c r="R54"/>
  <c r="S54"/>
  <c r="T54"/>
  <c r="J55"/>
  <c r="J64" s="1"/>
  <c r="K55"/>
  <c r="K64" s="1"/>
  <c r="M55"/>
  <c r="O55"/>
  <c r="Q55"/>
  <c r="R55"/>
  <c r="S55"/>
  <c r="S64" s="1"/>
  <c r="T55"/>
  <c r="I56"/>
  <c r="I55" s="1"/>
  <c r="J56"/>
  <c r="K56"/>
  <c r="L56"/>
  <c r="M56"/>
  <c r="O56"/>
  <c r="Q56"/>
  <c r="R56"/>
  <c r="S56"/>
  <c r="T56"/>
  <c r="I59"/>
  <c r="K59"/>
  <c r="L59"/>
  <c r="O59"/>
  <c r="R59"/>
  <c r="S59"/>
  <c r="S63" s="1"/>
  <c r="T59"/>
  <c r="I60"/>
  <c r="R60"/>
  <c r="T60"/>
  <c r="I61"/>
  <c r="J61"/>
  <c r="L61"/>
  <c r="Q61"/>
  <c r="Q60" s="1"/>
  <c r="R61"/>
  <c r="T61"/>
  <c r="O63"/>
  <c r="Q63"/>
  <c r="R63"/>
  <c r="T63"/>
  <c r="Q64"/>
  <c r="R64"/>
  <c r="T64"/>
  <c r="E65"/>
  <c r="S65" s="1"/>
  <c r="S61" s="1"/>
  <c r="I65"/>
  <c r="J65"/>
  <c r="K65"/>
  <c r="M65"/>
  <c r="O65"/>
  <c r="Q65"/>
  <c r="R65"/>
  <c r="T65"/>
  <c r="I5" i="1"/>
  <c r="J5"/>
  <c r="K5"/>
  <c r="L5"/>
  <c r="M5"/>
  <c r="P5"/>
  <c r="Q5"/>
  <c r="R5"/>
  <c r="S5"/>
  <c r="T5"/>
  <c r="I6"/>
  <c r="J6"/>
  <c r="K6"/>
  <c r="L6"/>
  <c r="M6"/>
  <c r="P6"/>
  <c r="Q6"/>
  <c r="R6"/>
  <c r="S6"/>
  <c r="T6"/>
  <c r="I7"/>
  <c r="J7"/>
  <c r="K7"/>
  <c r="K13"/>
  <c r="K19"/>
  <c r="L7"/>
  <c r="M7"/>
  <c r="P7"/>
  <c r="Q7"/>
  <c r="R7"/>
  <c r="S7"/>
  <c r="T7"/>
  <c r="S8"/>
  <c r="S14"/>
  <c r="S20"/>
  <c r="I8"/>
  <c r="J8"/>
  <c r="K8"/>
  <c r="L8"/>
  <c r="M8"/>
  <c r="P8"/>
  <c r="Q8"/>
  <c r="R8"/>
  <c r="T8"/>
  <c r="L9"/>
  <c r="L15"/>
  <c r="E21"/>
  <c r="L21" s="1"/>
  <c r="L27" s="1"/>
  <c r="I9"/>
  <c r="J9"/>
  <c r="K9"/>
  <c r="M9"/>
  <c r="M15"/>
  <c r="M21"/>
  <c r="P9"/>
  <c r="Q9"/>
  <c r="R9"/>
  <c r="S9"/>
  <c r="T9"/>
  <c r="I11"/>
  <c r="I17"/>
  <c r="J11"/>
  <c r="K11"/>
  <c r="L11"/>
  <c r="M11"/>
  <c r="M17"/>
  <c r="P11"/>
  <c r="Q11"/>
  <c r="R11"/>
  <c r="S11"/>
  <c r="S17"/>
  <c r="T11"/>
  <c r="I12"/>
  <c r="J12"/>
  <c r="J17"/>
  <c r="K12"/>
  <c r="L12"/>
  <c r="M12"/>
  <c r="P12"/>
  <c r="P17"/>
  <c r="Q12"/>
  <c r="R12"/>
  <c r="S12"/>
  <c r="T12"/>
  <c r="T17"/>
  <c r="I13"/>
  <c r="I25" s="1"/>
  <c r="J13"/>
  <c r="L13"/>
  <c r="L19"/>
  <c r="M13"/>
  <c r="M19"/>
  <c r="P13"/>
  <c r="Q13"/>
  <c r="Q19"/>
  <c r="R13"/>
  <c r="R19"/>
  <c r="S13"/>
  <c r="T13"/>
  <c r="I14"/>
  <c r="I20"/>
  <c r="I26" s="1"/>
  <c r="J14"/>
  <c r="K14"/>
  <c r="L14"/>
  <c r="M14"/>
  <c r="M20"/>
  <c r="P14"/>
  <c r="Q14"/>
  <c r="R14"/>
  <c r="T14"/>
  <c r="I15"/>
  <c r="J15"/>
  <c r="K15"/>
  <c r="K21"/>
  <c r="P15"/>
  <c r="Q15"/>
  <c r="Q21"/>
  <c r="R15"/>
  <c r="S15"/>
  <c r="T15"/>
  <c r="K17"/>
  <c r="L17"/>
  <c r="Q17"/>
  <c r="R17"/>
  <c r="I19"/>
  <c r="J19"/>
  <c r="J25" s="1"/>
  <c r="P19"/>
  <c r="S19"/>
  <c r="T19"/>
  <c r="T25" s="1"/>
  <c r="J20"/>
  <c r="K20"/>
  <c r="L20"/>
  <c r="P20"/>
  <c r="Q20"/>
  <c r="R20"/>
  <c r="R26" s="1"/>
  <c r="T20"/>
  <c r="S21"/>
  <c r="I21"/>
  <c r="I27"/>
  <c r="J21"/>
  <c r="P21"/>
  <c r="R21"/>
  <c r="R27"/>
  <c r="T21"/>
  <c r="N49" i="4"/>
  <c r="N47"/>
  <c r="N45"/>
  <c r="N41"/>
  <c r="I26"/>
  <c r="I25"/>
  <c r="I24"/>
  <c r="I23"/>
  <c r="I22"/>
  <c r="I21"/>
  <c r="I20"/>
  <c r="I19"/>
  <c r="I18"/>
  <c r="I17"/>
  <c r="I16"/>
  <c r="I15"/>
  <c r="I14"/>
  <c r="I13"/>
  <c r="I12"/>
  <c r="I11"/>
  <c r="I10"/>
  <c r="I9"/>
  <c r="I8"/>
  <c r="I7"/>
  <c r="I6"/>
  <c r="I5"/>
  <c r="I4"/>
  <c r="I49"/>
  <c r="I47"/>
  <c r="I45"/>
  <c r="I42"/>
  <c r="I41"/>
  <c r="N26"/>
  <c r="N25"/>
  <c r="N24"/>
  <c r="N23"/>
  <c r="N22"/>
  <c r="N21"/>
  <c r="N20"/>
  <c r="N19"/>
  <c r="N18"/>
  <c r="N17"/>
  <c r="N16"/>
  <c r="N15"/>
  <c r="N12"/>
  <c r="N11"/>
  <c r="N10"/>
  <c r="N9"/>
  <c r="N8"/>
  <c r="N7"/>
  <c r="N6"/>
  <c r="N5"/>
  <c r="N4"/>
  <c r="I40"/>
  <c r="I39"/>
  <c r="I38"/>
  <c r="I36"/>
  <c r="I35"/>
  <c r="I34"/>
  <c r="I32"/>
  <c r="I31"/>
  <c r="I30"/>
  <c r="I28"/>
  <c r="I27"/>
  <c r="N40"/>
  <c r="N39"/>
  <c r="N38"/>
  <c r="N37"/>
  <c r="N36"/>
  <c r="N35"/>
  <c r="N34"/>
  <c r="N33"/>
  <c r="N32"/>
  <c r="N31"/>
  <c r="N30"/>
  <c r="N29"/>
  <c r="N28"/>
  <c r="N27"/>
  <c r="I50"/>
  <c r="G46" i="5" s="1"/>
  <c r="G55" s="1"/>
  <c r="I51" i="4"/>
  <c r="P16" i="26"/>
  <c r="N60" i="4"/>
  <c r="U56" i="2"/>
  <c r="U27" i="14"/>
  <c r="E48" i="93"/>
  <c r="U26" i="14"/>
  <c r="K16" i="26"/>
  <c r="J16"/>
  <c r="E19" i="93"/>
  <c r="G53" i="5"/>
  <c r="S26" i="1"/>
  <c r="U63" i="2"/>
  <c r="U23" i="1"/>
  <c r="U24" s="1"/>
  <c r="L23"/>
  <c r="I23"/>
  <c r="Q23"/>
  <c r="Q24" s="1"/>
  <c r="I16" i="26"/>
  <c r="N26" i="2"/>
  <c r="N37" i="26"/>
  <c r="N12"/>
  <c r="G18" i="8"/>
  <c r="G22"/>
  <c r="G20"/>
  <c r="G23"/>
  <c r="G21"/>
  <c r="N57" i="4"/>
  <c r="N55"/>
  <c r="N53"/>
  <c r="N51"/>
  <c r="I48"/>
  <c r="I46"/>
  <c r="N44"/>
  <c r="I44"/>
  <c r="M26" i="1"/>
  <c r="N27"/>
  <c r="U27"/>
  <c r="N26"/>
  <c r="U25"/>
  <c r="N23"/>
  <c r="N24" s="1"/>
  <c r="S16" i="26"/>
  <c r="N30" i="25"/>
  <c r="E38" i="87"/>
  <c r="F33"/>
  <c r="Q31" i="14"/>
  <c r="K31"/>
  <c r="S30"/>
  <c r="M30"/>
  <c r="Q29"/>
  <c r="K29"/>
  <c r="S28"/>
  <c r="I28"/>
  <c r="Q27"/>
  <c r="K27"/>
  <c r="M26"/>
  <c r="I26"/>
  <c r="L31"/>
  <c r="N29"/>
  <c r="U29"/>
  <c r="T31"/>
  <c r="P31"/>
  <c r="J31"/>
  <c r="N26"/>
  <c r="U30"/>
  <c r="U39" i="26"/>
  <c r="U36"/>
  <c r="U37"/>
  <c r="U38"/>
  <c r="U32" i="25"/>
  <c r="S31"/>
  <c r="M31"/>
  <c r="Q30"/>
  <c r="R33"/>
  <c r="J32"/>
  <c r="R31"/>
  <c r="T30"/>
  <c r="P30"/>
  <c r="I31"/>
  <c r="T33"/>
  <c r="J33"/>
  <c r="T31"/>
  <c r="P31"/>
  <c r="R30"/>
  <c r="J30"/>
  <c r="U31"/>
  <c r="K33"/>
  <c r="M32"/>
  <c r="I32"/>
  <c r="K30"/>
  <c r="K31"/>
  <c r="K32"/>
  <c r="L33"/>
  <c r="T32"/>
  <c r="P32"/>
  <c r="R32"/>
  <c r="J31"/>
  <c r="M33"/>
  <c r="S30"/>
  <c r="M30"/>
  <c r="N36" i="3"/>
  <c r="U35"/>
  <c r="U37"/>
  <c r="Q8" i="2"/>
  <c r="M64"/>
  <c r="G45"/>
  <c r="N45" s="1"/>
  <c r="S26"/>
  <c r="U26"/>
  <c r="G65"/>
  <c r="N65" s="1"/>
  <c r="N61" s="1"/>
  <c r="I44"/>
  <c r="N27"/>
  <c r="U64"/>
  <c r="S23" i="1"/>
  <c r="K26"/>
  <c r="P26"/>
  <c r="U26"/>
  <c r="N25"/>
  <c r="G45" i="5"/>
  <c r="G47"/>
  <c r="O40" i="2"/>
  <c r="O44" s="1"/>
  <c r="I30" i="14"/>
  <c r="L13" i="2"/>
  <c r="L27" s="1"/>
  <c r="J27"/>
  <c r="K63"/>
  <c r="O61"/>
  <c r="O60" s="1"/>
  <c r="O64" s="1"/>
  <c r="L24"/>
  <c r="L55"/>
  <c r="L64" s="1"/>
  <c r="T27"/>
  <c r="M26"/>
  <c r="U27"/>
  <c r="U65"/>
  <c r="M63"/>
  <c r="R27"/>
  <c r="J40"/>
  <c r="J44" s="1"/>
  <c r="N41"/>
  <c r="M27"/>
  <c r="K26"/>
  <c r="N64"/>
  <c r="R26"/>
  <c r="N13" i="4"/>
  <c r="I8" i="2"/>
  <c r="I27" s="1"/>
  <c r="I27" i="14"/>
  <c r="P30"/>
  <c r="P28"/>
  <c r="S25" i="1" l="1"/>
  <c r="L26"/>
  <c r="Q25"/>
  <c r="M25"/>
  <c r="L25"/>
  <c r="M23"/>
  <c r="M24" s="1"/>
  <c r="K23"/>
  <c r="T27"/>
  <c r="K27"/>
  <c r="T26"/>
  <c r="Q26"/>
  <c r="R25"/>
  <c r="P25"/>
  <c r="K25"/>
  <c r="T23"/>
  <c r="T24" s="1"/>
  <c r="R23"/>
  <c r="R24" s="1"/>
  <c r="L24"/>
  <c r="J23"/>
  <c r="J24" s="1"/>
  <c r="I64" i="2"/>
  <c r="L63"/>
  <c r="I63"/>
  <c r="S40"/>
  <c r="S44" s="1"/>
  <c r="K27"/>
  <c r="Q18"/>
  <c r="S27"/>
  <c r="T26"/>
  <c r="P13"/>
  <c r="I26"/>
  <c r="N42" i="4"/>
  <c r="I33" i="25"/>
  <c r="S32"/>
  <c r="Q33"/>
  <c r="I30"/>
  <c r="S33"/>
  <c r="L30" i="14"/>
  <c r="T29"/>
  <c r="L28"/>
  <c r="T26"/>
  <c r="R26"/>
  <c r="R31"/>
  <c r="T30"/>
  <c r="R30"/>
  <c r="R29"/>
  <c r="L29"/>
  <c r="T28"/>
  <c r="R28"/>
  <c r="J28"/>
  <c r="P27"/>
  <c r="L27"/>
  <c r="P26"/>
  <c r="J26"/>
  <c r="D50" i="5"/>
  <c r="B50"/>
  <c r="F46"/>
  <c r="D46"/>
  <c r="B46"/>
  <c r="N34" i="3"/>
  <c r="U33"/>
  <c r="I57" i="4"/>
  <c r="I52"/>
  <c r="N35" i="24"/>
  <c r="N39" i="26"/>
  <c r="F83" i="9"/>
  <c r="P35" i="24"/>
  <c r="G24" i="8"/>
  <c r="P27" i="1"/>
  <c r="S27"/>
  <c r="Q27"/>
  <c r="M27"/>
  <c r="J27"/>
  <c r="J26"/>
  <c r="S24"/>
  <c r="I24"/>
  <c r="N48" i="4"/>
  <c r="N43"/>
  <c r="I33"/>
  <c r="Q31" i="25"/>
  <c r="Q38" i="26"/>
  <c r="S31" i="14"/>
  <c r="M31"/>
  <c r="Q30"/>
  <c r="M29"/>
  <c r="I29"/>
  <c r="Q28"/>
  <c r="M27"/>
  <c r="E50" i="5"/>
  <c r="C50"/>
  <c r="C46"/>
  <c r="N14" i="4"/>
  <c r="U35" i="24"/>
  <c r="N36" i="26"/>
  <c r="G54" i="5"/>
  <c r="G34"/>
  <c r="G33"/>
  <c r="G48"/>
  <c r="P24" i="1"/>
  <c r="K24"/>
  <c r="P23"/>
  <c r="U45" i="2"/>
  <c r="L65"/>
</calcChain>
</file>

<file path=xl/sharedStrings.xml><?xml version="1.0" encoding="utf-8"?>
<sst xmlns="http://schemas.openxmlformats.org/spreadsheetml/2006/main" count="2027" uniqueCount="1150">
  <si>
    <t>Расположено в центральной части Баренцева моря к северо-западу от полуострова Ямал и в 650 км к северо-востоку от г. Мурманск. Поставки газа планируются как по Единой системе газоснабжения, так и в виде СПГ на удаленные рынки. В 2008 г. для проектирования, разработки, строительства, финансирования и эксплуатации объектов первой фазы освоения Штокмановского месторождения создана компания специального назначения Shtokman Development AG, основными акционерами которой являются ОАО «Газпром» (51%), Total Shtokman B.V. (25%) и Statoil Holding Netherlands B.V. (24%).</t>
  </si>
  <si>
    <t>2016 г.</t>
  </si>
  <si>
    <t>Расположено на шельфе Печорского моря.</t>
  </si>
  <si>
    <t>6,6 млн т нефти</t>
  </si>
  <si>
    <t>2018 г.</t>
  </si>
  <si>
    <r>
      <t>Движение запасов углеводородов Группы Газпром категорий A+B+C</t>
    </r>
    <r>
      <rPr>
        <b/>
        <vertAlign val="subscript"/>
        <sz val="12"/>
        <rFont val="Arial"/>
        <family val="2"/>
        <charset val="204"/>
      </rPr>
      <t>1</t>
    </r>
    <r>
      <rPr>
        <b/>
        <sz val="12"/>
        <rFont val="Arial"/>
        <family val="2"/>
        <charset val="204"/>
      </rPr>
      <t xml:space="preserve"> в России</t>
    </r>
  </si>
  <si>
    <t>1 223 км</t>
  </si>
  <si>
    <t>Не предусмотрены</t>
  </si>
  <si>
    <t>Вероятные запасы представляют собой запасы, наличие в которых углеводородов в геологической структуре определяется с меньшей степенью определенности, поскольку меньшее количество скважин было пробурено и/или некоторые эксплуатационные тесты не были проведены. Вероятные запасы имеют более чем 50%-ю вероятность добычи, основаны на доступных свидетельствах и учитывают технические и экономические факторы.</t>
  </si>
  <si>
    <t>Различия между стандартами PRMS и стандартами Комиссии США по ценным бумагам и биржам (стандарты SEC)</t>
  </si>
  <si>
    <t>Утверждена Поэтапная программа геологического изучения недр на площадях Кугарт и Восточный Майлису – IV на 2008−2011 гг.</t>
  </si>
  <si>
    <t>Протяженность магистральных газопроводов и отводов в однониточном исчислении, тыс. км</t>
  </si>
  <si>
    <t>Линейные компрессорные станции, ед.</t>
  </si>
  <si>
    <t>Установленная мощность ГПА, тыс. МВт</t>
  </si>
  <si>
    <t>%</t>
  </si>
  <si>
    <t>10 лет и менее</t>
  </si>
  <si>
    <t>от 11 до 20 лет</t>
  </si>
  <si>
    <t>Поступление в систему</t>
  </si>
  <si>
    <t>в т. ч. центральноазиатский газ</t>
  </si>
  <si>
    <t>Отбор газа из ПХГ России</t>
  </si>
  <si>
    <t>Поставка за пределы России</t>
  </si>
  <si>
    <t>Закачка газа в ПХГ России</t>
  </si>
  <si>
    <t>Характеристика российских ПХГ Газпрома</t>
  </si>
  <si>
    <t>Количество объектов подземного хранения газа в России, ед.</t>
  </si>
  <si>
    <t>ОАО «Газпром нефть» и его дочерние общества</t>
  </si>
  <si>
    <t>Доля принадлежащих Группе обыкновенных акций</t>
  </si>
  <si>
    <t>Запасы газового конденсата обществ Группы Газпром на территории Российской Федерации</t>
  </si>
  <si>
    <r>
      <t xml:space="preserve">ОАО «Газпром» и его основные дочерние общества со 100%-ным участием </t>
    </r>
    <r>
      <rPr>
        <sz val="8"/>
        <rFont val="Times New Roman"/>
        <family val="1"/>
        <charset val="204"/>
      </rPr>
      <t>*</t>
    </r>
  </si>
  <si>
    <t>Запасы нефти обществ Группы Газпром на территории Российской Федерации</t>
  </si>
  <si>
    <t xml:space="preserve">Регион </t>
  </si>
  <si>
    <t>Уральский ФО</t>
  </si>
  <si>
    <t>Северо-Западный ФО</t>
  </si>
  <si>
    <t>Южный и Северо-Кавказский ФО</t>
  </si>
  <si>
    <t>Приволжский ФО</t>
  </si>
  <si>
    <t>Сибирский ФО</t>
  </si>
  <si>
    <t>Дальневосточный ФО</t>
  </si>
  <si>
    <t xml:space="preserve">Приволжский ФО </t>
  </si>
  <si>
    <t xml:space="preserve">Дальневосточный ФО </t>
  </si>
  <si>
    <t>x</t>
  </si>
  <si>
    <t xml:space="preserve"> </t>
  </si>
  <si>
    <t>Газовый конденсат, млн барр. н. э.</t>
  </si>
  <si>
    <t>Газовый конденсат, млн т у. т.</t>
  </si>
  <si>
    <t>Нефть, млн т у. т</t>
  </si>
  <si>
    <r>
      <t>млрд м</t>
    </r>
    <r>
      <rPr>
        <b/>
        <vertAlign val="superscript"/>
        <sz val="8"/>
        <color indexed="9"/>
        <rFont val="Times New Roman"/>
        <family val="1"/>
        <charset val="204"/>
      </rPr>
      <t>3</t>
    </r>
  </si>
  <si>
    <r>
      <t>Конденсат</t>
    </r>
    <r>
      <rPr>
        <sz val="8"/>
        <color indexed="9"/>
        <rFont val="Times New Roman"/>
        <family val="1"/>
        <charset val="204"/>
      </rPr>
      <t>*</t>
    </r>
  </si>
  <si>
    <t>Передача запасов, разведанных в 2006 г., в нераспределенный  фонд недр России **</t>
  </si>
  <si>
    <t>в т.ч. по факту открытия ***</t>
  </si>
  <si>
    <t>Передача запасов, разведанных в 2007 г., в нераспределенный  фонд недр России **</t>
  </si>
  <si>
    <t>Передача запасов, разведанных в 2008 г., в нераспределенный  фонд недр России **</t>
  </si>
  <si>
    <t>Передача запасов, разведанных в 2009 г., в нераспределенный  фонд недр России **</t>
  </si>
  <si>
    <t>Запасы на 31.12.2005</t>
  </si>
  <si>
    <t>Запасы на 31.12.2006</t>
  </si>
  <si>
    <t>Запасы на 31.12.2007</t>
  </si>
  <si>
    <t>Запасы на 31.12.2008</t>
  </si>
  <si>
    <t>Запасы  на 31.12.2009</t>
  </si>
  <si>
    <t>Добыча углеводородов Группы Газпром на территории Российской Федерации</t>
  </si>
  <si>
    <t xml:space="preserve">Добыча углеводородов Группы Газпром на территории Российской Федерации </t>
  </si>
  <si>
    <r>
      <t>ОАО «Газпром» и его основные дочерние общества со 100%-ным участием</t>
    </r>
    <r>
      <rPr>
        <sz val="8"/>
        <rFont val="Times New Roman"/>
        <family val="1"/>
        <charset val="204"/>
      </rPr>
      <t>*</t>
    </r>
  </si>
  <si>
    <t>I кв.</t>
  </si>
  <si>
    <t>II кв.</t>
  </si>
  <si>
    <t>III кв.</t>
  </si>
  <si>
    <t>IV кв.</t>
  </si>
  <si>
    <t>Всего за год</t>
  </si>
  <si>
    <t>ОАО «Севернефтегазпром»</t>
  </si>
  <si>
    <r>
      <t xml:space="preserve">* Показатели включены в состав общих показателей </t>
    </r>
    <r>
      <rPr>
        <i/>
        <sz val="8"/>
        <rFont val="Times New Roman"/>
        <family val="1"/>
        <charset val="204"/>
      </rPr>
      <t>Группы</t>
    </r>
    <r>
      <rPr>
        <sz val="8"/>
        <rFont val="Times New Roman"/>
        <family val="1"/>
        <charset val="204"/>
      </rPr>
      <t xml:space="preserve"> после консолидации со II полугодия 2007 г.</t>
    </r>
  </si>
  <si>
    <r>
      <t>** Показатели включены в состав общих показателей</t>
    </r>
    <r>
      <rPr>
        <i/>
        <sz val="8"/>
        <rFont val="Times New Roman"/>
        <family val="1"/>
        <charset val="204"/>
      </rPr>
      <t xml:space="preserve"> Группы</t>
    </r>
    <r>
      <rPr>
        <sz val="8"/>
        <rFont val="Times New Roman"/>
        <family val="1"/>
        <charset val="204"/>
      </rPr>
      <t xml:space="preserve"> после консолидации со II полугодия 2008 г.</t>
    </r>
  </si>
  <si>
    <r>
      <t xml:space="preserve">В эксплуатации находится 9 месторождений. 
В 2010 г. в рамках нефтяных концессий C96 и C97, в доле, приходящейся на </t>
    </r>
    <r>
      <rPr>
        <i/>
        <sz val="8"/>
        <rFont val="Times New Roman"/>
        <family val="1"/>
        <charset val="204"/>
      </rPr>
      <t>Группу</t>
    </r>
    <r>
      <rPr>
        <sz val="8"/>
        <rFont val="Times New Roman"/>
        <family val="1"/>
        <charset val="204"/>
      </rPr>
      <t xml:space="preserve"> добыто 
0,2 млрд м</t>
    </r>
    <r>
      <rPr>
        <vertAlign val="superscript"/>
        <sz val="8"/>
        <rFont val="Times New Roman"/>
        <family val="1"/>
        <charset val="204"/>
      </rPr>
      <t>3</t>
    </r>
    <r>
      <rPr>
        <sz val="8"/>
        <rFont val="Times New Roman"/>
        <family val="1"/>
        <charset val="204"/>
      </rPr>
      <t xml:space="preserve"> газа, 1,9 млн т нефти и 0,1 млн т конденсата.
</t>
    </r>
  </si>
  <si>
    <t>В 2008 г. открыто месторождение Центральное. В начале 2009 г. полностью завершены сейсморазведочные работы по технологии 3D.</t>
  </si>
  <si>
    <r>
      <t>В рамках первой фазы реализации проекта в 2009–2010 гг. выполнены сейсморазведочные работы  3D в объеме 2 748 км</t>
    </r>
    <r>
      <rPr>
        <vertAlign val="superscript"/>
        <sz val="8"/>
        <rFont val="Times New Roman"/>
        <family val="1"/>
        <charset val="204"/>
      </rPr>
      <t xml:space="preserve"> 2</t>
    </r>
    <r>
      <rPr>
        <sz val="8"/>
        <rFont val="Times New Roman"/>
        <family val="1"/>
        <charset val="204"/>
      </rPr>
      <t>, пробурена продуктивная поисковая скважина глубиной 
4 393 м, получены промышленные притоки нефти и газа. Первая фаза проекта в 2010 г. завершена.</t>
    </r>
  </si>
  <si>
    <r>
      <t>В 2007 г. на блоке № 112 открыто месторождение Бао Ванг. В 2008 г. на блоке 
№ 112 выполнено 2 000 пог. км сейсморазведочных работ 2D и  900 км</t>
    </r>
    <r>
      <rPr>
        <vertAlign val="superscript"/>
        <sz val="8"/>
        <rFont val="Times New Roman"/>
        <family val="1"/>
        <charset val="204"/>
      </rPr>
      <t>2</t>
    </r>
    <r>
      <rPr>
        <sz val="8"/>
        <rFont val="Times New Roman"/>
        <family val="1"/>
        <charset val="204"/>
      </rPr>
      <t xml:space="preserve"> сейсморазведочных работ 3D.</t>
    </r>
  </si>
  <si>
    <r>
      <t>В 2006–2010 г. на нефтегазоперспективных площадях Республики Таджикистан выполнено 193,8 пог. км сейсморазведочных работ 2D, 
339,3 км</t>
    </r>
    <r>
      <rPr>
        <vertAlign val="superscript"/>
        <sz val="8"/>
        <rFont val="Times New Roman"/>
        <family val="1"/>
        <charset val="204"/>
      </rPr>
      <t>2</t>
    </r>
    <r>
      <rPr>
        <sz val="8"/>
        <rFont val="Times New Roman"/>
        <family val="1"/>
        <charset val="204"/>
      </rPr>
      <t xml:space="preserve"> сейсморазведочных работ 3D, 806 км</t>
    </r>
    <r>
      <rPr>
        <vertAlign val="superscript"/>
        <sz val="8"/>
        <rFont val="Times New Roman"/>
        <family val="1"/>
        <charset val="204"/>
      </rPr>
      <t>2</t>
    </r>
    <r>
      <rPr>
        <sz val="8"/>
        <rFont val="Times New Roman"/>
        <family val="1"/>
        <charset val="204"/>
      </rPr>
      <t xml:space="preserve"> гравиразведочных работ.</t>
    </r>
  </si>
  <si>
    <t>Поиск, разведка и добыча углеводородов в рамках нефтяных концессий С96 и С97.</t>
  </si>
  <si>
    <r>
      <t>1,8 млн т газового конденсата и
5 млрд м</t>
    </r>
    <r>
      <rPr>
        <vertAlign val="superscript"/>
        <sz val="8"/>
        <rFont val="Times New Roman"/>
        <family val="1"/>
        <charset val="204"/>
      </rPr>
      <t>3</t>
    </r>
    <r>
      <rPr>
        <sz val="8"/>
        <rFont val="Times New Roman"/>
        <family val="1"/>
        <charset val="204"/>
      </rPr>
      <t xml:space="preserve"> газа
</t>
    </r>
  </si>
  <si>
    <r>
      <t>115 млрд м</t>
    </r>
    <r>
      <rPr>
        <vertAlign val="superscript"/>
        <sz val="8"/>
        <rFont val="Times New Roman"/>
        <family val="1"/>
        <charset val="204"/>
      </rPr>
      <t>3</t>
    </r>
  </si>
  <si>
    <t>В соответствии с лицензионным соглашением ввод нефтяной оторочки в опытно-промышленную эксплуатацию в 2014 г. Ввод газовых залежей намечен на 2016 г.</t>
  </si>
  <si>
    <r>
      <t>Расположена в южной части Ямбургского месторождения. Введена в эксплуатацию в 1996 г. В 2006 г. введена в строй УКПГ производительностью 18,2 млрд м</t>
    </r>
    <r>
      <rPr>
        <vertAlign val="superscript"/>
        <sz val="8"/>
        <rFont val="Times New Roman"/>
        <family val="1"/>
        <charset val="204"/>
      </rPr>
      <t>3</t>
    </r>
    <r>
      <rPr>
        <sz val="8"/>
        <rFont val="Times New Roman"/>
        <family val="1"/>
        <charset val="204"/>
      </rPr>
      <t xml:space="preserve"> в год.</t>
    </r>
  </si>
  <si>
    <t>Соглашение об общих принципах проведения геологического изучения недр. Получены лицензии на право пользования участками недр Сарикамыш и Западный Шохамбары, Ренган и Саргазон с целью геологического изучения недр.</t>
  </si>
  <si>
    <t>В 2010 г. на площади Сарикамыш начато бурение скважины проектной глубиной 
6  300 м, пройдено 700 м горных пород.</t>
  </si>
  <si>
    <r>
      <t xml:space="preserve"> В 2009 г. в результате проведенных работ на шельфе  Вьетнама в заливе Бак Бо открыто газоконденсатное месторождение Бао Ден с высоким содержанием СО</t>
    </r>
    <r>
      <rPr>
        <vertAlign val="subscript"/>
        <sz val="8"/>
        <rFont val="Times New Roman"/>
        <family val="1"/>
        <charset val="204"/>
      </rPr>
      <t>2</t>
    </r>
    <r>
      <rPr>
        <sz val="8"/>
        <rFont val="Times New Roman"/>
        <family val="1"/>
        <charset val="204"/>
      </rPr>
      <t xml:space="preserve">. </t>
    </r>
  </si>
  <si>
    <r>
      <t>В 2007 г. в соответствии с условиями лицензий выполнено 900 км</t>
    </r>
    <r>
      <rPr>
        <vertAlign val="superscript"/>
        <sz val="8"/>
        <rFont val="Times New Roman"/>
        <family val="1"/>
        <charset val="204"/>
      </rPr>
      <t>2</t>
    </r>
    <r>
      <rPr>
        <sz val="8"/>
        <rFont val="Times New Roman"/>
        <family val="1"/>
        <charset val="204"/>
      </rPr>
      <t xml:space="preserve"> сейсморазведочных работ 3D. В 2009 г. завершено бурение поисковой скважины на блоке Урумако-I.</t>
    </r>
  </si>
  <si>
    <r>
      <t>Разведка и разработка углеводородов сухопутного участка Эль-Ассель, расположенного в геологическом бассейне Беркин на востоке Алжира в пустыне Сахара (лицензионные блоки 236b, 404a1 и 405b1). 
В соответствии с контрактными условиями, в 2010 г. при переходе ко второй фазе разведочного периода 30 % территории участка было возвращено алжирскому государству. По состоянию на 
31 декабря 2010 г. территория участка составила 2 249,5 км</t>
    </r>
    <r>
      <rPr>
        <vertAlign val="superscript"/>
        <sz val="8"/>
        <rFont val="Times New Roman"/>
        <family val="1"/>
        <charset val="204"/>
      </rPr>
      <t>2</t>
    </r>
    <r>
      <rPr>
        <sz val="8"/>
        <rFont val="Times New Roman"/>
        <family val="1"/>
        <charset val="204"/>
      </rPr>
      <t xml:space="preserve">.
</t>
    </r>
  </si>
  <si>
    <t>Расходы возмещаются поставкой природного газа. Оставшийся после возмещения затрат газ распределяется между участниками Соглашения о разделе продукции согласно долям.</t>
  </si>
  <si>
    <r>
      <t xml:space="preserve">Реализуются на условиях соглашения о геологоразведке, разработке и разделе продукции. Участник проекта со стороны </t>
    </r>
    <r>
      <rPr>
        <i/>
        <sz val="8"/>
        <rFont val="Times New Roman"/>
        <family val="1"/>
        <charset val="204"/>
      </rPr>
      <t>Группы</t>
    </r>
    <r>
      <rPr>
        <sz val="8"/>
        <rFont val="Times New Roman"/>
        <family val="1"/>
        <charset val="204"/>
      </rPr>
      <t xml:space="preserve"> – дочерняя компания Gazprom EP International B.V.
Партнер: ливийская National Oil Corporation (Национальная нефтяная корпорация – ННК).
</t>
    </r>
  </si>
  <si>
    <r>
      <t xml:space="preserve">Доля участия </t>
    </r>
    <r>
      <rPr>
        <i/>
        <sz val="8"/>
        <rFont val="Times New Roman"/>
        <family val="1"/>
        <charset val="204"/>
      </rPr>
      <t>Группы Газпром</t>
    </r>
    <r>
      <rPr>
        <sz val="8"/>
        <rFont val="Times New Roman"/>
        <family val="1"/>
        <charset val="204"/>
      </rPr>
      <t xml:space="preserve">: </t>
    </r>
  </si>
  <si>
    <r>
      <t>До 55 млрд м</t>
    </r>
    <r>
      <rPr>
        <vertAlign val="superscript"/>
        <sz val="8"/>
        <rFont val="Times New Roman"/>
        <family val="1"/>
        <charset val="204"/>
      </rPr>
      <t>3</t>
    </r>
  </si>
  <si>
    <r>
      <t>До 63 млрд м</t>
    </r>
    <r>
      <rPr>
        <vertAlign val="superscript"/>
        <sz val="8"/>
        <rFont val="Times New Roman"/>
        <family val="1"/>
        <charset val="204"/>
      </rPr>
      <t>3</t>
    </r>
  </si>
  <si>
    <r>
      <t>До 63 млрд м</t>
    </r>
    <r>
      <rPr>
        <vertAlign val="superscript"/>
        <sz val="8"/>
        <rFont val="Times New Roman"/>
        <family val="1"/>
        <charset val="204"/>
      </rPr>
      <t xml:space="preserve">3  </t>
    </r>
    <r>
      <rPr>
        <sz val="8"/>
        <rFont val="Times New Roman"/>
        <family val="1"/>
        <charset val="204"/>
      </rPr>
      <t>(морской участок)</t>
    </r>
  </si>
  <si>
    <r>
      <t>До 20 млрд м</t>
    </r>
    <r>
      <rPr>
        <vertAlign val="superscript"/>
        <sz val="8"/>
        <rFont val="Times New Roman"/>
        <family val="1"/>
        <charset val="204"/>
      </rPr>
      <t>3</t>
    </r>
  </si>
  <si>
    <r>
      <t>До 46 млрд м</t>
    </r>
    <r>
      <rPr>
        <vertAlign val="superscript"/>
        <sz val="8"/>
        <rFont val="Times New Roman"/>
        <family val="1"/>
        <charset val="204"/>
      </rPr>
      <t>3</t>
    </r>
    <r>
      <rPr>
        <sz val="8"/>
        <rFont val="Times New Roman"/>
        <family val="1"/>
        <charset val="204"/>
      </rPr>
      <t xml:space="preserve"> (зависит от объемов добычи Штокмановского месторождения)</t>
    </r>
  </si>
  <si>
    <r>
      <t>До 36 млрд м</t>
    </r>
    <r>
      <rPr>
        <vertAlign val="superscript"/>
        <sz val="8"/>
        <rFont val="Times New Roman"/>
        <family val="1"/>
        <charset val="204"/>
      </rPr>
      <t>3</t>
    </r>
  </si>
  <si>
    <r>
      <t>30 млрд м</t>
    </r>
    <r>
      <rPr>
        <vertAlign val="superscript"/>
        <sz val="8"/>
        <rFont val="Times New Roman"/>
        <family val="1"/>
        <charset val="204"/>
      </rPr>
      <t>3</t>
    </r>
  </si>
  <si>
    <r>
      <t>3,8 млрд м</t>
    </r>
    <r>
      <rPr>
        <vertAlign val="superscript"/>
        <sz val="8"/>
        <rFont val="Times New Roman"/>
        <family val="1"/>
        <charset val="204"/>
      </rPr>
      <t>3</t>
    </r>
  </si>
  <si>
    <t>млн долл.**</t>
  </si>
  <si>
    <t>млн евро**</t>
  </si>
  <si>
    <t>Справочник «Газпром в цифрах 2006–2010 гг.» является информационно-статистическим изданием, подготовленным к годовому Общему собранию акционеров ОАО «Газпром» в 2011 г. Справочник подготовлен на основе данных корпоративной отчетности ОАО «Газпром», а также с использованием материалов, содержащихся в российских и зарубежных информационных изданиях.</t>
  </si>
  <si>
    <t>ОАО «Газпром» и его дочерние общества по добыче, транспортировке, переработке и подземному хранению газа - ООО «Газпром добыча Ямбург», ООО «Газпром добыча Уренгой», ООО «Газпром добыча Надым», ООО «Газпром добыча Ноябрьск», ООО «Газпром добыча Оренбург», ООО «Газпром добыча Астрахань», ООО «Газпром переработка», ООО «Газпром добыча Краснодар», ООО «Газпром трансгаз Ухта», ООО «Газпром трансгаз Сургут», ООО «Газпром трансгаз Югорск», ООО «Газпром трансгаз Санкт-Петербург», ООО «Газпром трансгаз Москва», ООО «Газпром трансгаз Томск», ООО «Газпром трансгаз Чайковский», ООО «Газпром трансгаз Екатеринбург», ООО «Газпром трансгаз Ставрополь», ООО «Газпром трансгаз Махачкала», ООО «Газпром трансгаз Нижний Новгород», ООО «Газпром трансгаз Саратов», ООО «Газпром трансгаз Волгоград», ООО «Газпром трансгаз Самара», ООО «Газпром трансгаз Уфа», ООО «Газпром трансгаз Казань», ООО «Газпром трансгаз-Кубань», ООО «Газпром ПХГ»; а также ОАО «Востокгазпром» и его дочерние общества, ЗАО «Газпром нефть Оренбург»,  ООО «Газпром добыча шельф», ООО «Газпром нефть шельф», ОАО «Севернефтегазпром» (до декабря 2007 г.), ООО «Пургаздобыча» (до момента его присоединения к ООО «Газпром добыча Ноябрьск» в декабре 2008 г.), ООО «Сервиснефтегаз».</t>
  </si>
  <si>
    <t>Попутный нефтяной газ</t>
  </si>
  <si>
    <t>ПХГ</t>
  </si>
  <si>
    <t>Подземное хранилище газа</t>
  </si>
  <si>
    <t>Руб.</t>
  </si>
  <si>
    <t>Российский рубль</t>
  </si>
  <si>
    <t>СПГ</t>
  </si>
  <si>
    <t>Сжиженный природный газ</t>
  </si>
  <si>
    <t>Газопровод из Северных районов Тюменской области до г. Торжок</t>
  </si>
  <si>
    <t>т</t>
  </si>
  <si>
    <t>Метрическая тонна</t>
  </si>
  <si>
    <t>УКПГ</t>
  </si>
  <si>
    <t>Установка комплексной подготовки газа</t>
  </si>
  <si>
    <t>ФО</t>
  </si>
  <si>
    <t>Федеральный округ</t>
  </si>
  <si>
    <t>ШФЛУ</t>
  </si>
  <si>
    <t>Широкая фракция легких углеводородов</t>
  </si>
  <si>
    <t>Международная классификация и оценка запасов углеводородов по стандартам PRMS («Системы управления углеводородными ресурсами»)</t>
  </si>
  <si>
    <t>на конец года</t>
  </si>
  <si>
    <t>руб.</t>
  </si>
  <si>
    <t>Цена нефти Urals (среднее CIF MED/NWE) **</t>
  </si>
  <si>
    <t>Реализация  тепла, млн Гкал</t>
  </si>
  <si>
    <t>** Показатели не являются частью финансовой отчетности и рассчитаны по обменному курсу на конец соответствующего периода.</t>
  </si>
  <si>
    <t>Оказание услуг по транспортировке газа</t>
  </si>
  <si>
    <r>
      <t>Отбор газа из ПХГ за рубежом *, млн м</t>
    </r>
    <r>
      <rPr>
        <vertAlign val="superscript"/>
        <sz val="8"/>
        <rFont val="Times New Roman"/>
        <family val="1"/>
        <charset val="204"/>
      </rPr>
      <t>3</t>
    </r>
  </si>
  <si>
    <t>Основные показатели воздействия Группы Газпром на окружающую среду</t>
  </si>
  <si>
    <t>в т. ч.:</t>
  </si>
  <si>
    <t>оксид углерода</t>
  </si>
  <si>
    <t>оксиды азота</t>
  </si>
  <si>
    <t>диоксид серы</t>
  </si>
  <si>
    <t xml:space="preserve">углеводороды (включая метан) </t>
  </si>
  <si>
    <r>
      <t>Сброс сточных вод</t>
    </r>
    <r>
      <rPr>
        <sz val="8"/>
        <rFont val="Times New Roman"/>
        <family val="1"/>
        <charset val="204"/>
      </rPr>
      <t>, млн м</t>
    </r>
    <r>
      <rPr>
        <vertAlign val="superscript"/>
        <sz val="8"/>
        <rFont val="Times New Roman"/>
        <family val="1"/>
        <charset val="204"/>
      </rPr>
      <t>3</t>
    </r>
  </si>
  <si>
    <t>в т. ч. в поверхностные водные объекты</t>
  </si>
  <si>
    <t>из них нормативно чистых и нормативно очищенных на очистных сооружениях</t>
  </si>
  <si>
    <t>Образование отходов, тыс. т</t>
  </si>
  <si>
    <t>Площадь рекультивированных земель, тыс. га</t>
  </si>
  <si>
    <t>Затраты на охрану окружающей среды по Группе Газпром, млн руб.</t>
  </si>
  <si>
    <t xml:space="preserve">Текущие затраты </t>
  </si>
  <si>
    <t>Затраты на капитальный ремонт основных производственных фондов по охране окружающей среды</t>
  </si>
  <si>
    <t>Плата за негативное воздействие на окружающую среду</t>
  </si>
  <si>
    <t>Инвестиции в основной капитал, направленные на охрану окружающей среды и рациональное использование природных ресурсов</t>
  </si>
  <si>
    <t>Энергосбережение ОАО «Газпром» и его основных дочерних обществ со 100%-ным участием</t>
  </si>
  <si>
    <t>Природный газ,</t>
  </si>
  <si>
    <r>
      <t>млн м</t>
    </r>
    <r>
      <rPr>
        <vertAlign val="superscript"/>
        <sz val="8"/>
        <rFont val="Times New Roman"/>
        <family val="1"/>
        <charset val="204"/>
      </rPr>
      <t>3</t>
    </r>
  </si>
  <si>
    <t>Электроэнергия,</t>
  </si>
  <si>
    <r>
      <t>млн кВт</t>
    </r>
    <r>
      <rPr>
        <sz val="8"/>
        <rFont val="SymbolPS"/>
      </rPr>
      <t>·</t>
    </r>
    <r>
      <rPr>
        <sz val="8"/>
        <rFont val="Times New Roman"/>
        <family val="1"/>
        <charset val="204"/>
      </rPr>
      <t>ч</t>
    </r>
  </si>
  <si>
    <r>
      <t>Тепловая энергия</t>
    </r>
    <r>
      <rPr>
        <sz val="8"/>
        <rFont val="Times New Roman"/>
        <family val="1"/>
        <charset val="204"/>
      </rPr>
      <t>,</t>
    </r>
  </si>
  <si>
    <t>тыс. Гкал</t>
  </si>
  <si>
    <t>тыс т у. т.</t>
  </si>
  <si>
    <t>НИОКР, выполненные по заказу Группы Газпром</t>
  </si>
  <si>
    <t>Объем НИОКР, млрд руб. (без НДС)</t>
  </si>
  <si>
    <t>Среднесписочная численность работников Группы Газпром</t>
  </si>
  <si>
    <t>Среднесписочная численность, тыс. человек</t>
  </si>
  <si>
    <t>Структура персонала Группы Газпром</t>
  </si>
  <si>
    <t xml:space="preserve">бензин автомобильный и технологический, дизтопливо, авиакеросин, мазут, ароматические углеводороды, газы углеводородные сжиженные, битумы, сера и пропилен </t>
  </si>
  <si>
    <t>Нови-Сад (Сербия)</t>
  </si>
  <si>
    <r>
      <t>бензин автомобильный,</t>
    </r>
    <r>
      <rPr>
        <sz val="8"/>
        <color indexed="18"/>
        <rFont val="Times New Roman"/>
        <family val="1"/>
        <charset val="204"/>
      </rPr>
      <t xml:space="preserve"> </t>
    </r>
    <r>
      <rPr>
        <sz val="8"/>
        <rFont val="Times New Roman"/>
        <family val="1"/>
        <charset val="204"/>
      </rPr>
      <t xml:space="preserve">дизтопливо, мазут, масла и битумы </t>
    </r>
  </si>
  <si>
    <t>Продукция</t>
  </si>
  <si>
    <t xml:space="preserve">Ярославнефтеоргсинтез </t>
  </si>
  <si>
    <t xml:space="preserve">ОАО «НГК «Славнефть» </t>
  </si>
  <si>
    <t>Ярославль</t>
  </si>
  <si>
    <t xml:space="preserve">бензин автомобильный и технологический, дизтопливо, авиакеросин, мазут, масла, ароматические углеводороды, сера, серная кислота, парафино-восковая продукция </t>
  </si>
  <si>
    <t xml:space="preserve">Обская и Тазовская губы </t>
  </si>
  <si>
    <r>
      <t>Достижение суммарной добычи газа по 1–5 участкам 31,5 млрд м</t>
    </r>
    <r>
      <rPr>
        <vertAlign val="superscript"/>
        <sz val="8"/>
        <rFont val="Times New Roman"/>
        <family val="1"/>
        <charset val="204"/>
      </rPr>
      <t>3</t>
    </r>
  </si>
  <si>
    <t>* Рыночная капитализация рассчитана по котировкам ММВБ, конвертирована в долл.</t>
  </si>
  <si>
    <t>** За 2010 г. приведены рекомендуемые дивиденды.</t>
  </si>
  <si>
    <t>Дивиденды на обыкновенную акцию **</t>
  </si>
  <si>
    <t>ПНГ</t>
  </si>
  <si>
    <t>Тазовское</t>
  </si>
  <si>
    <t>НР</t>
  </si>
  <si>
    <t>Северо-Парусовое</t>
  </si>
  <si>
    <t>Медвежье</t>
  </si>
  <si>
    <t>ООО «Газпром добыча Надым»</t>
  </si>
  <si>
    <t>Ямсовейское</t>
  </si>
  <si>
    <t>ГК</t>
  </si>
  <si>
    <t>Юбилейное</t>
  </si>
  <si>
    <t>Бованенковское</t>
  </si>
  <si>
    <t>Новопортовское</t>
  </si>
  <si>
    <t>Комсомольское</t>
  </si>
  <si>
    <t>ООО «Газпром добыча Ноябрьск»</t>
  </si>
  <si>
    <t>Еты-Пуровское</t>
  </si>
  <si>
    <t>Западно-Таркосалинское</t>
  </si>
  <si>
    <t>Южно-Русское</t>
  </si>
  <si>
    <t>50,001% (голосов)</t>
  </si>
  <si>
    <t>Западно-Тамбейское</t>
  </si>
  <si>
    <t>ОАО «Газпром»</t>
  </si>
  <si>
    <t>Крузенштернское</t>
  </si>
  <si>
    <t>Малыгинское</t>
  </si>
  <si>
    <t>Северо-Тамбейское</t>
  </si>
  <si>
    <t>Тасийское</t>
  </si>
  <si>
    <t>Антипаютинское</t>
  </si>
  <si>
    <t>Суторминское и Северо-Карамовское</t>
  </si>
  <si>
    <t>Приобское</t>
  </si>
  <si>
    <t>Н</t>
  </si>
  <si>
    <t>Вынгапуровское</t>
  </si>
  <si>
    <t>Юг России (Южный федеральный округ)</t>
  </si>
  <si>
    <t>Астраханское</t>
  </si>
  <si>
    <t>ООО «Газпром добыча Астрахань»</t>
  </si>
  <si>
    <t>Западно-Астраханское</t>
  </si>
  <si>
    <t>Южный Урал (Приволжский федеральный округ)</t>
  </si>
  <si>
    <t>Оренбургское</t>
  </si>
  <si>
    <t>ООО «Газпром добыча Оренбург»</t>
  </si>
  <si>
    <t>Объем продаж газа в дальнее зарубежье</t>
  </si>
  <si>
    <t>Проекты по разработке тяжелой нефти на блоках, расположенных в бассейне реки Ориноко.</t>
  </si>
  <si>
    <t xml:space="preserve">Учреждена компания-оператор Gazprom Neft Badra B.V. Сформирован Объединенный управляющий комитет проекта. 
В 2010 г. достигнуты предварительные договоренности с членами консорциума о сроках и этапах освоения месторождения.
</t>
  </si>
  <si>
    <t>Восстановление инфраструктуры месторождения Шахпахты в Устюртском регионе Республики Узбекистан и доразработка остаточных запасов газа.</t>
  </si>
  <si>
    <t>максимальная за год</t>
  </si>
  <si>
    <t>Цена за АДР на ЛФБ</t>
  </si>
  <si>
    <t>долл. США</t>
  </si>
  <si>
    <t>Индекс ММВБ</t>
  </si>
  <si>
    <t>пункты</t>
  </si>
  <si>
    <t>Индекс РТС</t>
  </si>
  <si>
    <t>Среднедневной объем ЛФБ</t>
  </si>
  <si>
    <t>Структура акционерного капитала</t>
  </si>
  <si>
    <t>Другие</t>
  </si>
  <si>
    <t>Номинальное удорожание /девальвация обменного курса рубля к евро (на конец периода  к декабрю предыдущего года)</t>
  </si>
  <si>
    <t>1 371 км</t>
  </si>
  <si>
    <t>9 КС / 869 МВт</t>
  </si>
  <si>
    <r>
      <t>45 млрд м</t>
    </r>
    <r>
      <rPr>
        <vertAlign val="superscript"/>
        <sz val="8"/>
        <rFont val="Times New Roman"/>
        <family val="1"/>
        <charset val="204"/>
      </rPr>
      <t>3</t>
    </r>
  </si>
  <si>
    <t>Обеспечение потребности в газе потребителей Хабаровского и Приморского краев и Сахалинской области</t>
  </si>
  <si>
    <t>1 КС / 32 МВт</t>
  </si>
  <si>
    <r>
      <t>750 млн м</t>
    </r>
    <r>
      <rPr>
        <vertAlign val="superscript"/>
        <sz val="8"/>
        <rFont val="Times New Roman"/>
        <family val="1"/>
        <charset val="204"/>
      </rPr>
      <t>3</t>
    </r>
  </si>
  <si>
    <t>Размещение перерабатывающих нефте- и газохимических предприятий</t>
  </si>
  <si>
    <t xml:space="preserve">Предприятия по переработке углеводородного сырья и производству нефте- и газохимической продукции </t>
  </si>
  <si>
    <t>Компания</t>
  </si>
  <si>
    <t>Место-положение</t>
  </si>
  <si>
    <t>Основная продукция</t>
  </si>
  <si>
    <t>Основные дочерние общества со 100%-ным участием</t>
  </si>
  <si>
    <t>Астраханский ГПЗ</t>
  </si>
  <si>
    <t>Астрахань</t>
  </si>
  <si>
    <t>сухой товарный газ, стабильный газовый конденсат, сжиженный газ, широкая фракция легких углеводородов (ШФЛУ), бензин, дизельное топливо, мазут, сера</t>
  </si>
  <si>
    <t>Оренбургский ГПЗ</t>
  </si>
  <si>
    <t>Оренбург</t>
  </si>
  <si>
    <t>1974 г.</t>
  </si>
  <si>
    <r>
      <t>сухой товарный газ, стабильный газовый конденсат, сжиженный газ, ШФЛУ, сера газовая, одорант</t>
    </r>
    <r>
      <rPr>
        <i/>
        <sz val="8"/>
        <rFont val="Times New Roman"/>
        <family val="1"/>
        <charset val="204"/>
      </rPr>
      <t xml:space="preserve"> </t>
    </r>
  </si>
  <si>
    <t>Оренбургский гелиевый завод</t>
  </si>
  <si>
    <t>1978 г.</t>
  </si>
  <si>
    <t>гелий газообразный и сжиженный, сухой товарный газ, этан, сжиженный газ, ШФЛУ, ПГФ</t>
  </si>
  <si>
    <t>Сосногорский ГПЗ</t>
  </si>
  <si>
    <t>ООО «Газпром переработка»</t>
  </si>
  <si>
    <t>Сосногорск, Республика Коми</t>
  </si>
  <si>
    <t>1946 г.</t>
  </si>
  <si>
    <t>сухой товарный газ, сжиженный газ, стабильный газовый конденсат, автомобильный бензин, техуглерод</t>
  </si>
  <si>
    <t>Уренгойский завод по подготовке конденсата к транспорту</t>
  </si>
  <si>
    <t>Уренгой</t>
  </si>
  <si>
    <t>1985 г.</t>
  </si>
  <si>
    <t>деэтанизированный газовый конденсат, стабильный газовый конденсат, сжиженный газ, автомобильный бензин, дизельное топливо, дистиллят газового конденсата легкий (ДКГЛ)</t>
  </si>
  <si>
    <t>Сургутский завод по стабилизации  конденсата</t>
  </si>
  <si>
    <t>Сургут</t>
  </si>
  <si>
    <t xml:space="preserve">стабильный газовый конденсат (нефть), автомобильный бензин, дизельное топливо, топливо для реактивных двигателей ТС-1, сжиженный газ, ШФЛУ, ПГФ, ДКГЛ </t>
  </si>
  <si>
    <t>Завод по производству метанола</t>
  </si>
  <si>
    <t>ООО «Сибметахим»</t>
  </si>
  <si>
    <t>Томск</t>
  </si>
  <si>
    <t>1983 г.</t>
  </si>
  <si>
    <t>Метанол, формалин, карбамидоформальдегидные смолы</t>
  </si>
  <si>
    <t>Газпром нефть</t>
  </si>
  <si>
    <t>Омский НПЗ</t>
  </si>
  <si>
    <t>ОАО «Газпром нефть»</t>
  </si>
  <si>
    <t>Омск</t>
  </si>
  <si>
    <t>1955 г.</t>
  </si>
  <si>
    <t>от 21 года до 30 лет</t>
  </si>
  <si>
    <t>от 31 до 40 лет</t>
  </si>
  <si>
    <t>от 41 до 50 лет</t>
  </si>
  <si>
    <t>Выбросы загрязняющих веществ в атмосферу, тыс. т</t>
  </si>
  <si>
    <t>Цена за акцию на ММВБ</t>
  </si>
  <si>
    <r>
      <t>млрд м</t>
    </r>
    <r>
      <rPr>
        <b/>
        <vertAlign val="superscript"/>
        <sz val="8"/>
        <rFont val="Times New Roman"/>
        <family val="1"/>
        <charset val="204"/>
      </rPr>
      <t>3</t>
    </r>
  </si>
  <si>
    <t>млн т у.т.</t>
  </si>
  <si>
    <t>млн барр. н.э.</t>
  </si>
  <si>
    <t>Выручка от реализации продуктов нефтегазопереработки (за вычетом НДС, акциза и таможенных пошлин), млн евро *</t>
  </si>
  <si>
    <t>Выручка от реализации нефти и газового конденсата (за вычетом НДС, акциза и таможенных пошлин), млн евро *</t>
  </si>
  <si>
    <t>млн  евро **</t>
  </si>
  <si>
    <t>ОАО «ОГК-2» **</t>
  </si>
  <si>
    <t>ОАО «ОГК-6» **</t>
  </si>
  <si>
    <t>ОАО «ТГК-1» ***</t>
  </si>
  <si>
    <t>ОАО «Мосэнерго» *</t>
  </si>
  <si>
    <t>в городах и поселках городского типа</t>
  </si>
  <si>
    <t>в сельской местности</t>
  </si>
  <si>
    <t>млн евро *</t>
  </si>
  <si>
    <t>млн долл. США *</t>
  </si>
  <si>
    <t>млн долл. США **</t>
  </si>
  <si>
    <t>** Рассчитано на основе данных Росстата, ГП «ЦДУ ТЭК» и ОАО «Газпром».</t>
  </si>
  <si>
    <t xml:space="preserve">Первичная переработка нефти и стабильного газового конденсата ** </t>
  </si>
  <si>
    <t>* Рассчитано на основе данных Международного центра по природному газу «CEDIGAZ» и ОАО «Газпром». Данные международной статистики по добыче и мировой торговле приведены к российским стандартным условиям с применением коэффициента 1,07.</t>
  </si>
  <si>
    <t>* Экономические показатели и обменные курсы представлены по данным Центрального банка России, и Росстата.</t>
  </si>
  <si>
    <t>** На конец 2009 г. без учета запасов ОАО «НК «Магма».</t>
  </si>
  <si>
    <t>в т.ч. по результатам аукционов или конкурсов</t>
  </si>
  <si>
    <r>
      <t>тыс. км</t>
    </r>
    <r>
      <rPr>
        <b/>
        <vertAlign val="superscript"/>
        <sz val="8"/>
        <color indexed="9"/>
        <rFont val="Times New Roman"/>
        <family val="1"/>
        <charset val="204"/>
      </rPr>
      <t>2</t>
    </r>
  </si>
  <si>
    <t>Харасавэйское</t>
  </si>
  <si>
    <t>Сугмутское</t>
  </si>
  <si>
    <t>Спорышевское</t>
  </si>
  <si>
    <t>Переработка нефти и нестабильного газового конденсата, млн т</t>
  </si>
  <si>
    <t>Объемы переработки углеводородов Группой Газпром (без учета давальческого сырья)</t>
  </si>
  <si>
    <t>Производство основных видов продукции переработки Группой Газпром (без учета давальческого сырья)</t>
  </si>
  <si>
    <t>Цена нефти Brent (Dated)**</t>
  </si>
  <si>
    <r>
      <t>Среднегодовая цена нефти Brent (Dated)</t>
    </r>
    <r>
      <rPr>
        <vertAlign val="superscript"/>
        <sz val="8"/>
        <rFont val="Times New Roman"/>
        <family val="1"/>
        <charset val="204"/>
      </rPr>
      <t xml:space="preserve"> </t>
    </r>
    <r>
      <rPr>
        <sz val="8"/>
        <rFont val="Times New Roman"/>
        <family val="1"/>
        <charset val="204"/>
      </rPr>
      <t>**</t>
    </r>
  </si>
  <si>
    <t>Среднегодовая цена нефти Urals (среднее CIF MED/NWE) **</t>
  </si>
  <si>
    <t>млн шт</t>
  </si>
  <si>
    <t>млрд долл. США</t>
  </si>
  <si>
    <t>изменение индекса ММВБ к прошлому году</t>
  </si>
  <si>
    <t>Вьетнам</t>
  </si>
  <si>
    <t>Индия</t>
  </si>
  <si>
    <t xml:space="preserve">Поиск, разведка и добыча углеводородов на блоке № 26 континентального шельфа Индии в Бенгальском заливе. </t>
  </si>
  <si>
    <t>2000 г.</t>
  </si>
  <si>
    <t>Ирак</t>
  </si>
  <si>
    <t>Разработка месторождения Бадра</t>
  </si>
  <si>
    <t>2010 г.</t>
  </si>
  <si>
    <t>Запасы  на 31.12.2010</t>
  </si>
  <si>
    <t>Передача запасов, разведанных в 2009 г., в нераспределенный  фонд недр России **, приобретение с баланса других компаний</t>
  </si>
  <si>
    <t>Лицензии Группы Газпром на основные месторождения углеводородов 
по состоянию на 31 декабря 2010 г.</t>
  </si>
  <si>
    <t>7 403</t>
  </si>
  <si>
    <t>6 806</t>
  </si>
  <si>
    <t>6 464</t>
  </si>
  <si>
    <t>5 941</t>
  </si>
  <si>
    <t>1 001,2</t>
  </si>
  <si>
    <t>4 572,1</t>
  </si>
  <si>
    <t>в т. ч. азербайджанский газ</t>
  </si>
  <si>
    <t>в т.ч. азербайджанский газ</t>
  </si>
  <si>
    <t>*** Запасы на конец 2005 и 2006 гг. учтены в составе показателей ОАО «Газпром» и его основных дочерних обществ со 100%-ным участием.</t>
  </si>
  <si>
    <t>ОАО «Севернефтегазпром» ***</t>
  </si>
  <si>
    <t>** По состоянию на конец 2006 и 2007 гг. приведены запасы товарного газа, начиная с оценки по состоянию на конец 2008 г. – запасы газа сепарации.</t>
  </si>
  <si>
    <t>Эксплуатационное бурение на территории России</t>
  </si>
  <si>
    <t>Эксплуатационные скважины,  законченные строительством, ед.</t>
  </si>
  <si>
    <t>на ПХГ</t>
  </si>
  <si>
    <t>Объем проходки в эксплуатационном бурении, тыс. м</t>
  </si>
  <si>
    <t>в т. ч. действующие, ед.</t>
  </si>
  <si>
    <r>
      <t>Согласно российской классификации разведанные запасы газа категорий А, В и С</t>
    </r>
    <r>
      <rPr>
        <vertAlign val="subscript"/>
        <sz val="10"/>
        <rFont val="Times New Roman"/>
        <family val="1"/>
        <charset val="204"/>
      </rPr>
      <t>1</t>
    </r>
    <r>
      <rPr>
        <sz val="10"/>
        <rFont val="Times New Roman"/>
        <family val="1"/>
        <charset val="204"/>
      </rPr>
      <t xml:space="preserve"> считаются полностью извлекаемыми. Для запасов нефти и газового конденсата предусмотрен коэффициент извлечения, рассчитанный на основе геолого-технологических факторов. </t>
    </r>
  </si>
  <si>
    <t>Запасы категории В представляют запасы части залежи, содержание нефти или газа в которой было определено на основании полученных промышленных притоков в скважинах на различных гипсометрических отметках. Основные характеристики и особенности залежи, определяющие условия ее разработки, изучены в степени, достаточной для составления проекта разработки.</t>
  </si>
  <si>
    <t>Условное топливо (угольный эквивалент), 
у. т.</t>
  </si>
  <si>
    <r>
      <t>Сейсморазведочные работы 3D в объеме 
5 000 км</t>
    </r>
    <r>
      <rPr>
        <vertAlign val="superscript"/>
        <sz val="8"/>
        <rFont val="Times New Roman"/>
        <family val="1"/>
        <charset val="204"/>
      </rPr>
      <t>2</t>
    </r>
    <r>
      <rPr>
        <sz val="8"/>
        <rFont val="Times New Roman"/>
        <family val="1"/>
        <charset val="204"/>
      </rPr>
      <t xml:space="preserve"> были выполнены в октябре–декабре 2008 г. Завершены работы по обработке и интерпретации данных сейсморазведки 3D и 2D, выделены перспективные объекты.
К 2012 г. на участке № 19 планировалось открыть и подготовить к разработке крупное по запасам нефтяное месторождение Южное.
</t>
    </r>
  </si>
  <si>
    <r>
      <t xml:space="preserve">Области поиска, разведки и добычи углеводородов </t>
    </r>
    <r>
      <rPr>
        <i/>
        <sz val="8"/>
        <rFont val="Times New Roman"/>
        <family val="1"/>
        <charset val="204"/>
      </rPr>
      <t xml:space="preserve">Газпрома </t>
    </r>
    <r>
      <rPr>
        <sz val="8"/>
        <rFont val="Times New Roman"/>
        <family val="1"/>
        <charset val="204"/>
      </rPr>
      <t>в Узбекистане (Устюртский регион)</t>
    </r>
  </si>
  <si>
    <r>
      <t xml:space="preserve">Области поисково-разведочных работ </t>
    </r>
    <r>
      <rPr>
        <i/>
        <sz val="8"/>
        <rFont val="Times New Roman"/>
        <family val="1"/>
        <charset val="204"/>
      </rPr>
      <t>Газпрома</t>
    </r>
    <r>
      <rPr>
        <sz val="8"/>
        <rFont val="Times New Roman"/>
        <family val="1"/>
        <charset val="204"/>
      </rPr>
      <t xml:space="preserve">, концессии с долевым участием </t>
    </r>
    <r>
      <rPr>
        <i/>
        <sz val="8"/>
        <rFont val="Times New Roman"/>
        <family val="1"/>
        <charset val="204"/>
      </rPr>
      <t>Группы</t>
    </r>
    <r>
      <rPr>
        <sz val="8"/>
        <rFont val="Times New Roman"/>
        <family val="1"/>
        <charset val="204"/>
      </rPr>
      <t xml:space="preserve"> в Ливии (лицензионные участки №19 и №64, концессии C96 и C97)</t>
    </r>
  </si>
  <si>
    <r>
      <t xml:space="preserve">Области ГРР </t>
    </r>
    <r>
      <rPr>
        <i/>
        <sz val="8"/>
        <rFont val="Times New Roman"/>
        <family val="1"/>
        <charset val="204"/>
      </rPr>
      <t>Газпрома</t>
    </r>
    <r>
      <rPr>
        <sz val="8"/>
        <rFont val="Times New Roman"/>
        <family val="1"/>
        <charset val="204"/>
      </rPr>
      <t xml:space="preserve"> в Таджикистане</t>
    </r>
  </si>
  <si>
    <t xml:space="preserve">Грязовец –  Выборг </t>
  </si>
  <si>
    <t xml:space="preserve">«СРТО – Торжок» </t>
  </si>
  <si>
    <t>Завершены предынвестиционные исследования, получены необходимые согласования. Принято решение о переходе к разработке проектной документации, утверждено задание на проектирование.
Определена трансса газопровода, выполняется сбор исходных данных и изысканий на местности.</t>
  </si>
  <si>
    <t>Подписаны Межправительственные соглашения с Болгарией, Сербией, Венгрией, Грецией, Словенией,  а также с Хорватией  и Австрией, созданы совместные проектные компании с компаниями-партнерами из Венгрии, Греции, Болгарии и Австрией (в 2011 г.). Завершены ТЭО строительства всех участков газопровода: в 2010 г. – в Сербии и Словении, в 2011 г. – в Австрии, Болгарии, Венгрии, Румынии, Хорватии и Греции.
В июне 2010 г. ОАО «Газпром», ENI и EDF подписали трехсторонний Меморандум, определивший конкретные шаги по вхождению EDF в проект строительства морского участка газопровода.
В марте 2011 г. ОАО «Газпром» и Wintershall Holding GmbH, подписали Меморандум о взаимопонимании, предусматривающий участие Wintershall Holding GmbH в реализации морского участка проекта. На основе выполненных национальных ТЭО ОАО «Газпром» до конца 2011 г. завершит подготовку Сводного ТЭО, по результатам которого будут определены конфигурация системы и основные технико-экономические показатели проекта.</t>
  </si>
  <si>
    <t>В 2010 г. газопровод введен в эксплуатацию, начаты поставки газа на ТЭЦ-2 
г. Петропавловск-Камчатский.</t>
  </si>
  <si>
    <t>Разведка и разработка углеводородного сырья на блоках Ипати и Акио, Асеро, расположенных в предгорьях Анд в нефтегазоносном бассейне Субандино.</t>
  </si>
  <si>
    <t>Для реализации проектов в Латинской Америке создано ООО  «Национальный нефтяной консорциум» (ННК), в которое вошли российские нефтегазовые компании ОАО «Газпром нефть», 
ОАО «Лукойл», ОАО «НК Роснефть», ОАО «Сургутнефтегаз» и ОАО «ТНК-BP» с равными долями участия – 20 %.</t>
  </si>
  <si>
    <t xml:space="preserve">Для разработки блока Хунин-6 ННК совместно с дочерним подразделением государственной нефтегазовой компании Венесуэлы PdVSA создано предприятие PetroMiranda. За право участия в компании ННК выплатил первую часть бонуса в размере 600 млн долл.  в пользу Боливарианской Республики Венесуэла.
Завершены работы по сертификации блока 
Аякучо-3.  Изучается возможность его разработки совместно с ННК.
</t>
  </si>
  <si>
    <t>Доказанные**</t>
  </si>
  <si>
    <t>Вероятные**</t>
  </si>
  <si>
    <t>Доказанные и вероятные**</t>
  </si>
  <si>
    <r>
      <t>В 2010 г. на месторождении Шахпахты добыто около 0,2 млрд м</t>
    </r>
    <r>
      <rPr>
        <vertAlign val="superscript"/>
        <sz val="8"/>
        <rFont val="Times New Roman"/>
        <family val="1"/>
        <charset val="204"/>
      </rPr>
      <t>3</t>
    </r>
    <r>
      <rPr>
        <sz val="8"/>
        <rFont val="Times New Roman"/>
        <family val="1"/>
        <charset val="204"/>
      </rPr>
      <t xml:space="preserve"> газа. 
На данном этапе проект окупил инвестиции и генерирует прибыль, которая распределяется между участниками Соглашения о разделе продукции.
</t>
    </r>
  </si>
  <si>
    <r>
      <t xml:space="preserve">Реализуется на основании соглашения о разделе продукции. Участник со стороны </t>
    </r>
    <r>
      <rPr>
        <i/>
        <sz val="8"/>
        <rFont val="Times New Roman"/>
        <family val="1"/>
        <charset val="204"/>
      </rPr>
      <t>Группы</t>
    </r>
    <r>
      <rPr>
        <sz val="8"/>
        <rFont val="Times New Roman"/>
        <family val="1"/>
        <charset val="204"/>
      </rPr>
      <t xml:space="preserve"> – дочерняя компания Gazprom Neft Equatorial B.V. Партнер – Национальная нефтяная компания Экваториальной Гвинеи (GEPetrol). Доля участия </t>
    </r>
    <r>
      <rPr>
        <i/>
        <sz val="8"/>
        <rFont val="Times New Roman"/>
        <family val="1"/>
        <charset val="204"/>
      </rPr>
      <t>Группы Газпром</t>
    </r>
    <r>
      <rPr>
        <sz val="8"/>
        <rFont val="Times New Roman"/>
        <family val="1"/>
        <charset val="204"/>
      </rPr>
      <t xml:space="preserve"> на этапе ГРР – 80%; </t>
    </r>
  </si>
  <si>
    <r>
      <t xml:space="preserve">Долевое участие в концессиях, принадлежащих Wintershall AG (оператор проекта), полученное в результате соглашения об обмене активами с компанией BASF. Участник со стороны </t>
    </r>
    <r>
      <rPr>
        <i/>
        <sz val="8"/>
        <rFont val="Times New Roman"/>
        <family val="1"/>
        <charset val="204"/>
      </rPr>
      <t>Группы</t>
    </r>
    <r>
      <rPr>
        <sz val="8"/>
        <rFont val="Times New Roman"/>
        <family val="1"/>
        <charset val="204"/>
      </rPr>
      <t xml:space="preserve"> – дочерняя компания Gazprom EP International B.V </t>
    </r>
  </si>
  <si>
    <t>Подземное хранение газа</t>
  </si>
  <si>
    <t>Переработка углеводородов и производство продукции переработки</t>
  </si>
  <si>
    <t>Реализация газа</t>
  </si>
  <si>
    <t>Реализация нефти, газового конденсата и продуктов переработки</t>
  </si>
  <si>
    <t>Реализация тепла и электроэнергии, услуг по транспортировке газа</t>
  </si>
  <si>
    <t>Экология, энергосбережение, НИОКР</t>
  </si>
  <si>
    <t>Персонал</t>
  </si>
  <si>
    <t>Коэффициенты пересчета</t>
  </si>
  <si>
    <t>Глоссарий основных понятий и сокращений</t>
  </si>
  <si>
    <t>За период и по состоянию на конец года</t>
  </si>
  <si>
    <t>Протяженность магистральных газопроводов и отводов, тыс. км</t>
  </si>
  <si>
    <t>Реальное удорожание обменного курса рубля к евро (на конец периода  к декабрю предыдущего года)</t>
  </si>
  <si>
    <t>Средний обменный курс рубля к евро за период</t>
  </si>
  <si>
    <t>руб./евро</t>
  </si>
  <si>
    <t>Обменный курс рубля к евро на конец периода</t>
  </si>
  <si>
    <t xml:space="preserve">минимальная за год </t>
  </si>
  <si>
    <t>Расширение ЕСГ для обеспечения подачи газа в газопровод «Южный поток»</t>
  </si>
  <si>
    <t>Транспортировка газа по территории России для обеспечения подачи газа в газопровод «Южный поток»</t>
  </si>
  <si>
    <t>«Южный поток»</t>
  </si>
  <si>
    <t>Транспортировка газа из России через акваторию Черного моря и далее по территориям стран Южной и Центральной Европы</t>
  </si>
  <si>
    <t>Не определено</t>
  </si>
  <si>
    <t>Расширение Уренгойского газотранспортного узла</t>
  </si>
  <si>
    <t>Около 400 км</t>
  </si>
  <si>
    <t>3 КС / 272 МВт</t>
  </si>
  <si>
    <r>
      <t>40,3-47,5 млрд м</t>
    </r>
    <r>
      <rPr>
        <vertAlign val="superscript"/>
        <sz val="8"/>
        <rFont val="Times New Roman"/>
        <family val="1"/>
        <charset val="204"/>
      </rPr>
      <t>3</t>
    </r>
    <r>
      <rPr>
        <sz val="8"/>
        <rFont val="Times New Roman"/>
        <family val="1"/>
        <charset val="204"/>
      </rPr>
      <t xml:space="preserve"> на различных участках</t>
    </r>
  </si>
  <si>
    <t>Прикаспийский газопровод</t>
  </si>
  <si>
    <t>1 365 км</t>
  </si>
  <si>
    <t xml:space="preserve">10 КС / 1 225 МВт </t>
  </si>
  <si>
    <r>
      <t>Списочная численность работников</t>
    </r>
    <r>
      <rPr>
        <b/>
        <i/>
        <sz val="8"/>
        <rFont val="Times New Roman"/>
        <family val="1"/>
        <charset val="204"/>
      </rPr>
      <t xml:space="preserve"> Группы</t>
    </r>
    <r>
      <rPr>
        <b/>
        <sz val="8"/>
        <rFont val="Times New Roman"/>
        <family val="1"/>
        <charset val="204"/>
      </rPr>
      <t xml:space="preserve"> на конец года, тыс. человек, в т. ч.:</t>
    </r>
  </si>
  <si>
    <r>
      <t>Запасы категории С</t>
    </r>
    <r>
      <rPr>
        <vertAlign val="subscript"/>
        <sz val="10"/>
        <rFont val="Times New Roman"/>
        <family val="1"/>
        <charset val="204"/>
      </rPr>
      <t>1</t>
    </r>
    <r>
      <rPr>
        <sz val="10"/>
        <rFont val="Times New Roman"/>
        <family val="1"/>
        <charset val="204"/>
      </rPr>
      <t xml:space="preserve"> представляют запасы залежи, для которой было определено содержание нефти или газа на основе промышленных притоков нефти или газа в скважинах и положительных результатов геолого-разведочных работ на неопробованных скважинах. Запасы категории С</t>
    </r>
    <r>
      <rPr>
        <vertAlign val="subscript"/>
        <sz val="10"/>
        <rFont val="Times New Roman"/>
        <family val="1"/>
        <charset val="204"/>
      </rPr>
      <t>1</t>
    </r>
    <r>
      <rPr>
        <sz val="10"/>
        <rFont val="Times New Roman"/>
        <family val="1"/>
        <charset val="204"/>
      </rPr>
      <t xml:space="preserve"> рассчитываются на основе  результатов бурения и геофизических исследований скважин, которые должны быть изучены в деталях для подготовки проекта по опытно-промышленной эксплуатации газовых месторождений или технологической схемы разработки нефтяных месторождений.</t>
    </r>
  </si>
  <si>
    <t xml:space="preserve">В соответствии с международными стандартами PRMS запасы классифицируются как доказанные, вероятные и возможные. </t>
  </si>
  <si>
    <t>Ливия</t>
  </si>
  <si>
    <t>2007 г.</t>
  </si>
  <si>
    <t>лицензионный участок № 19:</t>
  </si>
  <si>
    <t>лицензионный участок № 64:</t>
  </si>
  <si>
    <t>Таджикистан</t>
  </si>
  <si>
    <t>Квартальная добыча газа Группой Газпром на территории Российской Федерации</t>
  </si>
  <si>
    <t>Конденсат, млн барр. н. э.</t>
  </si>
  <si>
    <t>Квартальная добыча газового конденсата и нефти Группой Газпром на территории Российской Федерации</t>
  </si>
  <si>
    <t>Регион</t>
  </si>
  <si>
    <t>Сибирский и Дальневосточный ФО</t>
  </si>
  <si>
    <t>* Состав учитываемых обществ приведен в Глоссарии.</t>
  </si>
  <si>
    <t>ОАО «Газпром» и его основные дочерние общества со 100%-ным участием *</t>
  </si>
  <si>
    <t>ОАО «Газпром нефть»  и его дочерние общества **</t>
  </si>
  <si>
    <t>Индекс потребительских цен (декабрь к декабрю предыдущего года), прирост</t>
  </si>
  <si>
    <t>Индекс цен производителей промышленных товаров (декабрь к декабрю предыдущего года), прирост</t>
  </si>
  <si>
    <t xml:space="preserve">** По данным агентства Platts. </t>
  </si>
  <si>
    <t>Доля, контролируемая Российской Федерацией</t>
  </si>
  <si>
    <t>Кол-во выпущенных обыкновенных акций на конец года</t>
  </si>
  <si>
    <t xml:space="preserve">Кол-во обыкновенных акций в обращении на конец года </t>
  </si>
  <si>
    <t>Казначейские акции на конец года</t>
  </si>
  <si>
    <t>ОАО «Роснефтегаз»</t>
  </si>
  <si>
    <t>ОАО «Росгазификация»</t>
  </si>
  <si>
    <t>Всего запасы, млн т у. т.</t>
  </si>
  <si>
    <t>Всего запасы, млн барр. н. э.</t>
  </si>
  <si>
    <t>ЗАО «Каунасская теплофикационная электростанция» (Литва)</t>
  </si>
  <si>
    <t xml:space="preserve"> * Показатели приведены с момента установления контроля.</t>
  </si>
  <si>
    <t>Производство тепла и электроэнергии Группой Газпром</t>
  </si>
  <si>
    <r>
      <t xml:space="preserve">*** Показатели включаются в состав общих показателей </t>
    </r>
    <r>
      <rPr>
        <i/>
        <sz val="8"/>
        <rFont val="Times New Roman"/>
        <family val="1"/>
        <charset val="204"/>
      </rPr>
      <t>Группы</t>
    </r>
    <r>
      <rPr>
        <sz val="8"/>
        <rFont val="Times New Roman"/>
        <family val="1"/>
        <charset val="204"/>
      </rPr>
      <t xml:space="preserve"> начиная с 1 января 2010 г. </t>
    </r>
  </si>
  <si>
    <t>** Данные не являются частью финансовой отчетности и рассчитаны по обменному курсу на конец соответствующего периода.</t>
  </si>
  <si>
    <t>Реализация газа Группой Газпром</t>
  </si>
  <si>
    <t>Объем продаж газа в России</t>
  </si>
  <si>
    <t xml:space="preserve">Австрия </t>
  </si>
  <si>
    <t xml:space="preserve">Бельгия </t>
  </si>
  <si>
    <t>Обеспечение газоснабжения потребителей Туапсинского района, г. Сочи, прилегающих районов и олимпийских объектов, а также в целом энергобезопасности Сочинского региона.</t>
  </si>
  <si>
    <r>
      <t>Российская классификация запасов базируется исключительно на анализе геологических показателей и учитывает фактическое наличие углеводородов в геологических формациях или вероятность такого фактического наличия. Разведанные запасы представлены категориями А, В и С</t>
    </r>
    <r>
      <rPr>
        <vertAlign val="subscript"/>
        <sz val="10"/>
        <rFont val="Times New Roman"/>
        <family val="1"/>
        <charset val="204"/>
      </rPr>
      <t>1</t>
    </r>
    <r>
      <rPr>
        <sz val="10"/>
        <rFont val="Times New Roman"/>
        <family val="1"/>
        <charset val="204"/>
      </rPr>
      <t>, предварительно оцененные запасы – категорией С</t>
    </r>
    <r>
      <rPr>
        <vertAlign val="subscript"/>
        <sz val="10"/>
        <rFont val="Times New Roman"/>
        <family val="1"/>
        <charset val="204"/>
      </rPr>
      <t>2</t>
    </r>
    <r>
      <rPr>
        <sz val="10"/>
        <rFont val="Times New Roman"/>
        <family val="1"/>
        <charset val="204"/>
      </rPr>
      <t>, перспективные ресурсы – категорией С</t>
    </r>
    <r>
      <rPr>
        <vertAlign val="subscript"/>
        <sz val="10"/>
        <rFont val="Times New Roman"/>
        <family val="1"/>
        <charset val="204"/>
      </rPr>
      <t>3</t>
    </r>
    <r>
      <rPr>
        <sz val="10"/>
        <rFont val="Times New Roman"/>
        <family val="1"/>
        <charset val="204"/>
      </rPr>
      <t xml:space="preserve"> и прогнозные ресурсы – категориями D</t>
    </r>
    <r>
      <rPr>
        <vertAlign val="subscript"/>
        <sz val="10"/>
        <rFont val="Times New Roman"/>
        <family val="1"/>
        <charset val="204"/>
      </rPr>
      <t>1</t>
    </r>
    <r>
      <rPr>
        <sz val="10"/>
        <rFont val="Times New Roman"/>
        <family val="1"/>
        <charset val="204"/>
      </rPr>
      <t xml:space="preserve"> и D</t>
    </r>
    <r>
      <rPr>
        <vertAlign val="subscript"/>
        <sz val="10"/>
        <rFont val="Times New Roman"/>
        <family val="1"/>
        <charset val="204"/>
      </rPr>
      <t>2</t>
    </r>
    <r>
      <rPr>
        <sz val="10"/>
        <rFont val="Times New Roman"/>
        <family val="1"/>
        <charset val="204"/>
      </rPr>
      <t xml:space="preserve">. </t>
    </r>
  </si>
  <si>
    <t xml:space="preserve"> * Расчет стоимости приведен по состоянию на каждый завершенный период. В расчет включена оценка стоимости запасов серы и гелия.</t>
  </si>
  <si>
    <t>Запасы углеводородов Группы Газпром на территории Российской Федерации</t>
  </si>
  <si>
    <t>млн т у. т.</t>
  </si>
  <si>
    <t>млн барр. н. э.</t>
  </si>
  <si>
    <t>в т.ч. по решению Правительства России без проведения конкурса</t>
  </si>
  <si>
    <t>** Включает показатели NIS после консолидации с 1 февраля  2009 г.</t>
  </si>
  <si>
    <r>
      <t xml:space="preserve">в том числе за рубежом </t>
    </r>
    <r>
      <rPr>
        <sz val="8"/>
        <rFont val="Times New Roman"/>
        <family val="1"/>
        <charset val="204"/>
      </rPr>
      <t>**</t>
    </r>
  </si>
  <si>
    <r>
      <t xml:space="preserve">Сибур Холдинг </t>
    </r>
    <r>
      <rPr>
        <sz val="8"/>
        <rFont val="Times New Roman"/>
        <family val="1"/>
        <charset val="204"/>
      </rPr>
      <t>***</t>
    </r>
  </si>
  <si>
    <r>
      <t xml:space="preserve">*** Показатели </t>
    </r>
    <r>
      <rPr>
        <i/>
        <sz val="8"/>
        <rFont val="Times New Roman"/>
        <family val="1"/>
        <charset val="204"/>
      </rPr>
      <t>Сибур Холдинга</t>
    </r>
    <r>
      <rPr>
        <sz val="8"/>
        <rFont val="Times New Roman"/>
        <family val="1"/>
        <charset val="204"/>
      </rPr>
      <t xml:space="preserve"> учтены до момента деконсолидации с III кв. 2008 г.</t>
    </r>
  </si>
  <si>
    <t>Годовая мощность по переработке сырья/ производству продукции на 31.12.2010 г.</t>
  </si>
  <si>
    <r>
      <t>·</t>
    </r>
    <r>
      <rPr>
        <sz val="7"/>
        <rFont val="Times New Roman"/>
        <family val="1"/>
        <charset val="204"/>
      </rPr>
      <t xml:space="preserve">         </t>
    </r>
    <r>
      <rPr>
        <i/>
        <sz val="10"/>
        <rFont val="Times New Roman"/>
        <family val="1"/>
        <charset val="204"/>
      </rPr>
      <t>Достоверность наличия</t>
    </r>
    <r>
      <rPr>
        <sz val="10"/>
        <rFont val="Times New Roman"/>
        <family val="1"/>
        <charset val="204"/>
      </rPr>
      <t xml:space="preserve">. Согласно стандартам PRMS неразрабатываемые запасы, находящиеся на расстоянии более одного стандартно определенного расстояния между скважинами от действующей промышленно добывающей скважины, могут быть классифицированы как доказанные, если есть «целесообразная уверенность» в том, что они существуют. Согласно положениям SEC должно быть «продемонстрировано с уверенностью», что запасы есть, прежде чем они могут попасть в категорию доказанных. </t>
    </r>
  </si>
  <si>
    <r>
      <t>·</t>
    </r>
    <r>
      <rPr>
        <sz val="7"/>
        <rFont val="Times New Roman"/>
        <family val="1"/>
        <charset val="204"/>
      </rPr>
      <t xml:space="preserve">         </t>
    </r>
    <r>
      <rPr>
        <i/>
        <sz val="10"/>
        <rFont val="Times New Roman"/>
        <family val="1"/>
        <charset val="204"/>
      </rPr>
      <t xml:space="preserve">Срок действия лицензии. </t>
    </r>
    <r>
      <rPr>
        <sz val="10"/>
        <rFont val="Times New Roman"/>
        <family val="1"/>
        <charset val="204"/>
      </rPr>
      <t xml:space="preserve">Согласно стандартам PRMS доказанные запасы прогнозируются на срок рентабельной разработки месторождения. Согласно стандартам SEC запасы нефти и газа не могут быть классифицированы как доказанные, если они будут извлечены после окончания срока действия лицензии, за исключением случаев, когда владелец лицензии имеет право возобновить ее действие, подтверждаемое показательными историческими фактами такого возобновления лицензий. Федеральным законом «О недрах» предусмотрено, что владелец лицензии может подать запрос на продление существующей лицензии, если после окончания первоначального срока ее действия сохраняются извлекаемые запасы, в том случае, если владелец лицензии выполняет основные условия лицензионного соглашения. </t>
    </r>
  </si>
  <si>
    <r>
      <t>Газ, млрд  м</t>
    </r>
    <r>
      <rPr>
        <b/>
        <vertAlign val="superscript"/>
        <sz val="8"/>
        <color indexed="9"/>
        <rFont val="Times New Roman"/>
        <family val="1"/>
        <charset val="204"/>
      </rPr>
      <t>3</t>
    </r>
  </si>
  <si>
    <t>х</t>
  </si>
  <si>
    <t>Вклад в формирование показателей мировой газовой промышленности</t>
  </si>
  <si>
    <t>Вклад в формирование показателей топливно-энергетического комплекса России</t>
  </si>
  <si>
    <t>Контролируемые российские запасы газа</t>
  </si>
  <si>
    <t>Добыча газа **</t>
  </si>
  <si>
    <t>Добыча нефти и газового конденсата **</t>
  </si>
  <si>
    <t>Переработка природного газа и ПНГ **</t>
  </si>
  <si>
    <t>Мировая торговля газом *</t>
  </si>
  <si>
    <r>
      <t>Добыча газа *</t>
    </r>
    <r>
      <rPr>
        <vertAlign val="superscript"/>
        <sz val="8"/>
        <rFont val="Times New Roman"/>
        <family val="1"/>
        <charset val="204"/>
      </rPr>
      <t xml:space="preserve"> </t>
    </r>
  </si>
  <si>
    <t>Запасы газа *</t>
  </si>
  <si>
    <t>Показатель*</t>
  </si>
  <si>
    <t>Блоки Blanquilla и Tortuga</t>
  </si>
  <si>
    <r>
      <rPr>
        <i/>
        <sz val="8"/>
        <rFont val="Times New Roman"/>
        <family val="1"/>
        <charset val="204"/>
      </rPr>
      <t>Газпром нефтью</t>
    </r>
    <r>
      <rPr>
        <sz val="8"/>
        <rFont val="Times New Roman"/>
        <family val="1"/>
        <charset val="204"/>
      </rPr>
      <t xml:space="preserve"> проведена работа по инициированию геолого-разведочного проекта СРП с Министерством энергетики Экваториальной Гвинеи и национальной компанией GEPetrol по двум выбранным морским разведочным блокам T и U. Президентом Экваториальной Гвинеи 31 августа 2010 г. ратифицированы подписанные сторонами Соглашения о разделе продукции.</t>
    </r>
  </si>
  <si>
    <r>
      <t>Добыча газа на месторождении по проекту разработки предусмотрена в объеме 71 млрд м</t>
    </r>
    <r>
      <rPr>
        <vertAlign val="superscript"/>
        <sz val="8"/>
        <rFont val="Times New Roman"/>
        <family val="1"/>
        <charset val="204"/>
      </rPr>
      <t>3</t>
    </r>
    <r>
      <rPr>
        <sz val="8"/>
        <rFont val="Times New Roman"/>
        <family val="1"/>
        <charset val="204"/>
      </rPr>
      <t xml:space="preserve"> в год, и может быть потенциально увеличена до 95 млрд м</t>
    </r>
    <r>
      <rPr>
        <vertAlign val="superscript"/>
        <sz val="8"/>
        <rFont val="Times New Roman"/>
        <family val="1"/>
        <charset val="204"/>
      </rPr>
      <t xml:space="preserve">3 </t>
    </r>
    <r>
      <rPr>
        <sz val="8"/>
        <rFont val="Times New Roman"/>
        <family val="1"/>
        <charset val="204"/>
      </rPr>
      <t>в год.</t>
    </r>
  </si>
  <si>
    <t>7 КС / 1 155 МВт</t>
  </si>
  <si>
    <t>По состоянию на 31 декабря 2010 г. завершено строительство линейной части
первой нитки газопровода. Ввод газопровода в эксплуатацию ожидается в 2011 г., выход на проектную мощность − в 2012 г.</t>
  </si>
  <si>
    <t>Обеспечение  поставок трубопроводного газа из России в Китай по западному маршруту.</t>
  </si>
  <si>
    <t>176,2 км</t>
  </si>
  <si>
    <t>Местоположение</t>
  </si>
  <si>
    <t>Год ввода в эксплуатацию/ год создания</t>
  </si>
  <si>
    <t>Год ввода в эксплуатацию/ год основания</t>
  </si>
  <si>
    <t>Генерирующие мощности Группы Газпром</t>
  </si>
  <si>
    <t>Электрические мощности, МВт</t>
  </si>
  <si>
    <t>Структура выручки Группы Газпром (за вычетом НДС, акциза и таможенных пошлин)</t>
  </si>
  <si>
    <t>Дальнее зарубежье*</t>
  </si>
  <si>
    <t>* Начиная с 2008 г. данные по выручке от продажи газа представлены без учета торговых операций без фактической поставки газа по Группе Газпром Германия.</t>
  </si>
  <si>
    <t>1 млн т СПГ</t>
  </si>
  <si>
    <r>
      <t>млрд м</t>
    </r>
    <r>
      <rPr>
        <vertAlign val="superscript"/>
        <sz val="8"/>
        <color indexed="63"/>
        <rFont val="Times New Roman"/>
        <family val="1"/>
        <charset val="204"/>
      </rPr>
      <t>3</t>
    </r>
    <r>
      <rPr>
        <sz val="8"/>
        <color indexed="63"/>
        <rFont val="Times New Roman"/>
        <family val="1"/>
        <charset val="204"/>
      </rPr>
      <t xml:space="preserve"> природного газа</t>
    </r>
  </si>
  <si>
    <r>
      <t>Распределение запасов углеводородов категорий A+B+C</t>
    </r>
    <r>
      <rPr>
        <vertAlign val="subscript"/>
        <sz val="10"/>
        <color indexed="12"/>
        <rFont val="Arial Cyr"/>
        <charset val="204"/>
      </rPr>
      <t>1</t>
    </r>
    <r>
      <rPr>
        <sz val="10"/>
        <color indexed="12"/>
        <rFont val="Arial Cyr"/>
      </rPr>
      <t xml:space="preserve"> Группы Газпром по регионам России</t>
    </r>
  </si>
  <si>
    <r>
      <t>Движение запасов углеводородов Группы Газпром категорий A+B+C</t>
    </r>
    <r>
      <rPr>
        <vertAlign val="subscript"/>
        <sz val="10"/>
        <color indexed="12"/>
        <rFont val="Arial Cyr"/>
        <charset val="204"/>
      </rPr>
      <t>1</t>
    </r>
    <r>
      <rPr>
        <sz val="10"/>
        <color indexed="12"/>
        <rFont val="Arial Cyr"/>
      </rPr>
      <t xml:space="preserve"> в России</t>
    </r>
  </si>
  <si>
    <r>
      <t xml:space="preserve">Консорциум, оператором которого выступает ОАО «Газпром нефть». Остальными участниками консорциума являются корейская KOGAS (22,5 %), малазийская Petronas (15 %) и турецкая TPAO (7,5 %), иракскому правительству принадлежит 25 %.
Доля участия </t>
    </r>
    <r>
      <rPr>
        <i/>
        <sz val="8"/>
        <rFont val="Times New Roman"/>
        <family val="1"/>
        <charset val="204"/>
      </rPr>
      <t>Группы Газпром</t>
    </r>
    <r>
      <rPr>
        <sz val="8"/>
        <rFont val="Times New Roman"/>
        <family val="1"/>
        <charset val="204"/>
      </rPr>
      <t xml:space="preserve"> – 30 %. 
Проект рассчитан на 20 лет с возможностью продления срока на 5 лет. Объем инвестиций консорциума оценивается в 2 млрд долл. В течение  7 лет планируется довести добычу до 8,5 млн т нефти в год
</t>
    </r>
  </si>
  <si>
    <t>Участники проекта – НХК «Уз-бекнефтегаз» и  ОАО «Газпром».
 Получены лицензии на семь инвестиционных блоков на право пользования участками недр с целью геологического изучения недр.
Оператор проекта − ЗАО «Газпром зарубежнефтегаз».</t>
  </si>
  <si>
    <r>
      <t>В рамках исполнения лицензионных обязательств закончено строительством семнадцать скважин (проходка 69 363 м), выполнялись сейсморазведочные работы 2D 
(7 700 пог. км) и 3D (600 км</t>
    </r>
    <r>
      <rPr>
        <vertAlign val="superscript"/>
        <sz val="8"/>
        <rFont val="Times New Roman"/>
        <family val="1"/>
        <charset val="204"/>
      </rPr>
      <t>2</t>
    </r>
    <r>
      <rPr>
        <sz val="8"/>
        <rFont val="Times New Roman"/>
        <family val="1"/>
        <charset val="204"/>
      </rPr>
      <t>) и другие геофизические работы. Открыто месторождение Джел на Шахпахтинском лицензионном блоке. Продолжается разведка месторождения.
В 2010 г. получен прирост запасов газа и конденсата на площади Джел в Узбекистане  –  0,8 млрд м3 и 0,06 млн т, соответственно.</t>
    </r>
  </si>
  <si>
    <r>
      <rPr>
        <i/>
        <sz val="10"/>
        <rFont val="Times New Roman"/>
        <family val="1"/>
        <charset val="204"/>
      </rPr>
      <t>Газпром</t>
    </r>
    <r>
      <rPr>
        <b/>
        <i/>
        <sz val="10"/>
        <rFont val="Times New Roman"/>
        <family val="1"/>
        <charset val="204"/>
      </rPr>
      <t xml:space="preserve"> </t>
    </r>
    <r>
      <rPr>
        <sz val="10"/>
        <rFont val="Times New Roman"/>
        <family val="1"/>
        <charset val="204"/>
      </rPr>
      <t>готовит и предоставляет на утверждение государственным органам проекты разработки месторождений на основании срока рентабельной разработки месторождения даже в тех случаях, когда срок рентабельной разработки превышает первоначальный срок действия лицензии.</t>
    </r>
    <r>
      <rPr>
        <b/>
        <i/>
        <sz val="10"/>
        <rFont val="Times New Roman"/>
        <family val="1"/>
        <charset val="204"/>
      </rPr>
      <t xml:space="preserve"> </t>
    </r>
    <r>
      <rPr>
        <i/>
        <sz val="10"/>
        <rFont val="Times New Roman"/>
        <family val="1"/>
        <charset val="204"/>
      </rPr>
      <t>Газпром</t>
    </r>
    <r>
      <rPr>
        <b/>
        <i/>
        <sz val="10"/>
        <rFont val="Times New Roman"/>
        <family val="1"/>
        <charset val="204"/>
      </rPr>
      <t xml:space="preserve"> </t>
    </r>
    <r>
      <rPr>
        <sz val="10"/>
        <rFont val="Times New Roman"/>
        <family val="1"/>
        <charset val="204"/>
      </rPr>
      <t>соблюдает все основные условия лицензионного соглашения и имеет право продлить сроки существующих лицензий на полный срок рентабельной разработки месторождений после окончания первоначального срока действия этих лицензий. Тем не менее отсутствие безусловного юридического права на возобновление лицензий и существенного числа показательных исторических подтверждений таких возобновлений не позволяет с должной уверенностью заключить, что извлекаемые запасы, которые</t>
    </r>
    <r>
      <rPr>
        <b/>
        <i/>
        <sz val="10"/>
        <rFont val="Times New Roman"/>
        <family val="1"/>
        <charset val="204"/>
      </rPr>
      <t xml:space="preserve"> </t>
    </r>
    <r>
      <rPr>
        <i/>
        <sz val="10"/>
        <rFont val="Times New Roman"/>
        <family val="1"/>
        <charset val="204"/>
      </rPr>
      <t>Газпром</t>
    </r>
    <r>
      <rPr>
        <b/>
        <i/>
        <sz val="10"/>
        <rFont val="Times New Roman"/>
        <family val="1"/>
        <charset val="204"/>
      </rPr>
      <t xml:space="preserve"> </t>
    </r>
    <r>
      <rPr>
        <sz val="10"/>
        <rFont val="Times New Roman"/>
        <family val="1"/>
        <charset val="204"/>
      </rPr>
      <t>планирует разрабатывать после истечения текущего срока лицензии, могут быть отнесены к категории «доказанные» запасы по стандартам SEC. Эксперты SEC не предоставили четких указаний по поводу того, могут ли в данных обстоятельствах эти извлекаемые запасы рассматриваться как доказанные в соответствии со стандартами SEC.</t>
    </r>
  </si>
  <si>
    <r>
      <t xml:space="preserve">*** Основная часть лицензий на поиск, разведку и добычу углеводородов </t>
    </r>
    <r>
      <rPr>
        <i/>
        <sz val="8"/>
        <rFont val="Times New Roman"/>
        <family val="1"/>
        <charset val="204"/>
      </rPr>
      <t>Группы Газпром</t>
    </r>
    <r>
      <rPr>
        <sz val="8"/>
        <rFont val="Times New Roman"/>
        <family val="1"/>
        <charset val="204"/>
      </rPr>
      <t xml:space="preserve"> была получена в 1993–1996 гг. в соответствии с Федеральным законом «О недрах». Срок действия части лицензий истекает в 2012–2014 гг. Поскольку держатели лицензий </t>
    </r>
    <r>
      <rPr>
        <i/>
        <sz val="8"/>
        <rFont val="Times New Roman"/>
        <family val="1"/>
        <charset val="204"/>
      </rPr>
      <t>Группы Газпром</t>
    </r>
    <r>
      <rPr>
        <sz val="8"/>
        <rFont val="Times New Roman"/>
        <family val="1"/>
        <charset val="204"/>
      </rPr>
      <t xml:space="preserve"> выполняют основные условия лицензионных соглашений, они имеют право на продление действующих лицензий для завершения поиска или разработки месторождений. </t>
    </r>
    <r>
      <rPr>
        <i/>
        <sz val="8"/>
        <rFont val="Times New Roman"/>
        <family val="1"/>
        <charset val="204"/>
      </rPr>
      <t>Газпром</t>
    </r>
    <r>
      <rPr>
        <sz val="8"/>
        <rFont val="Times New Roman"/>
        <family val="1"/>
        <charset val="204"/>
      </rPr>
      <t xml:space="preserve"> планирует продлевать свои лицензии на период до завершения рентабельной разработки месторождений.</t>
    </r>
  </si>
  <si>
    <t>В 2010 г. на блоке № 112 закончены строительством две поисково-разведочные скважины, пробурено 3 364 м. На блоках №129–132 выполнено 11 200 пог. км сейсморазведочных работ 2D , выполнены геохимические исследования – отобрано 2 000 проб.</t>
  </si>
  <si>
    <t xml:space="preserve">В 2011 г. в рамках проекта «Рафаэль – Урданета» разработаны технико-экономические предложения (ТЭП) по освоению ресурсов блока Урумако-III и изучению перспективности прилегающих к нему территорий. По результатам рассмотрения ТЭП планируется принятие решений о дальнейших работах по проекту «Рафаэль – Урданета». </t>
  </si>
  <si>
    <r>
      <t>В 2010–2012 гг. в рамках проекта «Ипати / Акио» планируется пробурить три поисково-оценочные скважины, а также выполнить сейсморазведочные работы 3D в объеме 400 км</t>
    </r>
    <r>
      <rPr>
        <vertAlign val="superscript"/>
        <sz val="8"/>
        <rFont val="Times New Roman"/>
        <family val="1"/>
        <charset val="204"/>
      </rPr>
      <t>2</t>
    </r>
    <r>
      <rPr>
        <sz val="8"/>
        <rFont val="Times New Roman"/>
        <family val="1"/>
        <charset val="204"/>
      </rPr>
      <t xml:space="preserve">. В 2010 г. начато бурение первой скважины.
Продолжаются переговоры с боливийской YPFB и французской Total по условиям участия в проекте «Асеро». Доля </t>
    </r>
    <r>
      <rPr>
        <i/>
        <sz val="8"/>
        <rFont val="Times New Roman"/>
        <family val="1"/>
        <charset val="204"/>
      </rPr>
      <t>Группы Газпром</t>
    </r>
    <r>
      <rPr>
        <sz val="8"/>
        <rFont val="Times New Roman"/>
        <family val="1"/>
        <charset val="204"/>
      </rPr>
      <t xml:space="preserve"> в проекте может составить от 20 %.
</t>
    </r>
  </si>
  <si>
    <t>1 барр. газового конденсата, 1 барр. нефти</t>
  </si>
  <si>
    <t xml:space="preserve">Оценка запасов углеводородов Газпрома осуществляется в соответствии с российской системой классификации запасов и международными методиками, разработанными в рамках «Системы управления углеводородными ресурсами» (Petroleum Resources Management System) – стандартами PRMS. Система PRMS, являющаяся новым международным стандартом оценки запасов, заменила в 2007 г. определения SPE, вышедшие в 1997 г. </t>
  </si>
  <si>
    <t xml:space="preserve">В 2012 г. планируется ввод в эксплуатацию первой очереди строительства состоящей из линейной части газопровода на участке Бованенково – Ухта, включая двухниточный переход через Байдарацкую губу, и КС Байдарацкая мощностью 96 МВт. 
По состоянию на 31 декабря 2010 г. на участке Бованенково – Ухта сварено в нитку около 720 км линейной части, включая подводный переход через Байдарацкую губу. Ввод участка Ухта – Торжок планируется в конце 2012 г.
</t>
  </si>
  <si>
    <r>
      <t>5 млрд м</t>
    </r>
    <r>
      <rPr>
        <vertAlign val="superscript"/>
        <sz val="8"/>
        <rFont val="Times New Roman"/>
        <family val="1"/>
        <charset val="204"/>
      </rPr>
      <t>3</t>
    </r>
  </si>
  <si>
    <t>395 км</t>
  </si>
  <si>
    <t xml:space="preserve">Газопровод
«Алтай»
</t>
  </si>
  <si>
    <t>2 622 км</t>
  </si>
  <si>
    <t xml:space="preserve">10 КС </t>
  </si>
  <si>
    <t>В настоящее время ведутся переговоры по коммерческим условиям поставок газа.</t>
  </si>
  <si>
    <t>Джубга – Лаза-ревское – Сочи</t>
  </si>
  <si>
    <r>
      <t xml:space="preserve">Участник со стороны </t>
    </r>
    <r>
      <rPr>
        <i/>
        <sz val="8"/>
        <rFont val="Times New Roman"/>
        <family val="1"/>
        <charset val="204"/>
      </rPr>
      <t>Группы</t>
    </r>
    <r>
      <rPr>
        <sz val="8"/>
        <rFont val="Times New Roman"/>
        <family val="1"/>
        <charset val="204"/>
      </rPr>
      <t xml:space="preserve"> – дочерняя компания Gazprom EP International B.V.
Партнеры по проекту «Ипати / Акио»: Total (60 %) и TecPetrol (20 %).
Доля участия </t>
    </r>
    <r>
      <rPr>
        <i/>
        <sz val="8"/>
        <rFont val="Times New Roman"/>
        <family val="1"/>
        <charset val="204"/>
      </rPr>
      <t>Группы Газпром</t>
    </r>
    <r>
      <rPr>
        <sz val="8"/>
        <rFont val="Times New Roman"/>
        <family val="1"/>
        <charset val="204"/>
      </rPr>
      <t xml:space="preserve"> – 20 %.
Финансирование осуществляется пропорционально долям участия.
</t>
    </r>
  </si>
  <si>
    <r>
      <t xml:space="preserve">Участник со стороны </t>
    </r>
    <r>
      <rPr>
        <i/>
        <sz val="8"/>
        <rFont val="Times New Roman"/>
        <family val="1"/>
        <charset val="204"/>
      </rPr>
      <t>Группы</t>
    </r>
    <r>
      <rPr>
        <sz val="8"/>
        <rFont val="Times New Roman"/>
        <family val="1"/>
        <charset val="204"/>
      </rPr>
      <t xml:space="preserve">  – дочерняя компания Gazprom EP International B.V.</t>
    </r>
  </si>
  <si>
    <r>
      <t xml:space="preserve">Для реализации проекта </t>
    </r>
    <r>
      <rPr>
        <i/>
        <sz val="8"/>
        <rFont val="Times New Roman"/>
        <family val="1"/>
        <charset val="204"/>
      </rPr>
      <t>Группой</t>
    </r>
    <r>
      <rPr>
        <sz val="8"/>
        <rFont val="Times New Roman"/>
        <family val="1"/>
        <charset val="204"/>
      </rPr>
      <t xml:space="preserve"> учреждены компании «Урданетагазпром-1, С.А.» и «Урданетагазпром-2, С.А.». 
Предоставлены лицензии на разведку и разработку месторождений сроком на 30 лет. </t>
    </r>
  </si>
  <si>
    <t>Поиск и разведка углевдорродных ресурвсов геологической структуры Центральная в Каспийском море.</t>
  </si>
  <si>
    <t xml:space="preserve">Проведение ГРР на нефтегазоперспективных площадях Восточный Майлису – IV и Кугарт. </t>
  </si>
  <si>
    <r>
      <t xml:space="preserve">Соглашение о разделе продукции. Оператор проектов – совместная операционная компания «Вьетгазпром». Доля участия </t>
    </r>
    <r>
      <rPr>
        <i/>
        <sz val="8"/>
        <rFont val="Times New Roman"/>
        <family val="1"/>
        <charset val="204"/>
      </rPr>
      <t>Группы Газпром</t>
    </r>
    <r>
      <rPr>
        <sz val="8"/>
        <rFont val="Times New Roman"/>
        <family val="1"/>
        <charset val="204"/>
      </rPr>
      <t xml:space="preserve"> – 50%.</t>
    </r>
  </si>
  <si>
    <r>
      <t>Расположено в дельте реки Волга. Способно обеспечить годовой уровень добычи на уровне 50-60 млрд м</t>
    </r>
    <r>
      <rPr>
        <vertAlign val="superscript"/>
        <sz val="8"/>
        <rFont val="Times New Roman"/>
        <family val="1"/>
        <charset val="204"/>
      </rPr>
      <t>3</t>
    </r>
    <r>
      <rPr>
        <sz val="8"/>
        <rFont val="Times New Roman"/>
        <family val="1"/>
        <charset val="204"/>
      </rPr>
      <t>. Добыча сдерживается на уровне 
12 млрд м</t>
    </r>
    <r>
      <rPr>
        <vertAlign val="superscript"/>
        <sz val="8"/>
        <rFont val="Times New Roman"/>
        <family val="1"/>
        <charset val="204"/>
      </rPr>
      <t>3</t>
    </r>
    <r>
      <rPr>
        <sz val="8"/>
        <rFont val="Times New Roman"/>
        <family val="1"/>
        <charset val="204"/>
      </rPr>
      <t xml:space="preserve"> в год в основном экологическими ограничениями, а также необходимостью использования дорогостоящих технологий. Рассматривается возможность разработки месторождения с использованием технологии закачки кислых газов в пласт, которая позволит существенно уменьшить количество вредных выбросов и исключить проблемы утилизации попутной серы.</t>
    </r>
  </si>
  <si>
    <r>
      <t xml:space="preserve">Кроме того </t>
    </r>
    <r>
      <rPr>
        <i/>
        <sz val="8"/>
        <rFont val="Times New Roman"/>
        <family val="1"/>
        <charset val="204"/>
      </rPr>
      <t>Группа Газпром</t>
    </r>
    <r>
      <rPr>
        <sz val="8"/>
        <rFont val="Times New Roman"/>
        <family val="1"/>
        <charset val="204"/>
      </rPr>
      <t xml:space="preserve"> имеет доступ к мощностям ОАО «Славнефть-Ярославнефтеоргсинтез» в соответствии с долей участия в капитале ОАО «НГК «Славнефть»: </t>
    </r>
  </si>
  <si>
    <r>
      <t>Месторождение расположено в средней части акватории Обской губы в Ямало-Ненецком автономном округе Тюменской области и определено первоочередным объектом освоения  месторождений акватории Обской и Тазовской губ.</t>
    </r>
    <r>
      <rPr>
        <sz val="8"/>
        <color indexed="10"/>
        <rFont val="Times New Roman"/>
        <family val="1"/>
        <charset val="204"/>
      </rPr>
      <t xml:space="preserve"> </t>
    </r>
  </si>
  <si>
    <t>2020 г.</t>
  </si>
  <si>
    <t>Поволжье</t>
  </si>
  <si>
    <t>1986 г.</t>
  </si>
  <si>
    <t>Восточная Сибирь и Дальний Восток</t>
  </si>
  <si>
    <t>Чаяндинское</t>
  </si>
  <si>
    <t>Расположено в Ленском районе Республики Саха (Якутия). В настоящее время ведется доразведка месторождения и разработка проектных документов по его разработке, в которых будут определены уровни добычи газа и жидких углеводородов.</t>
  </si>
  <si>
    <t>не определено</t>
  </si>
  <si>
    <t>Примечания</t>
  </si>
  <si>
    <t>Основные различия в оценке запасов по международным и российским стандартам</t>
  </si>
  <si>
    <t>Российская система классификации запасов существенно отличается от международных стандартов, в первую очередь, в отношении учета экономико-коммерческих факторов при подсчете запасов.</t>
  </si>
  <si>
    <t>Российская классификация запасов</t>
  </si>
  <si>
    <t>Международные стандарты PRMS</t>
  </si>
  <si>
    <t>Международные стандарты PRMS при оценке извлекаемых запасов учитывают не только наличие углеводородов в данной геологической формации, но и промышленную целесообразность извлечения запасов. Во внимание принимаются такие факторы, как затраты на разведку и бурение, добычу, транспортировку, налоги, текущие цены на углеводороды и прочие факторы, которые влияют на экономическую жизнеспособность данного месторождения.</t>
  </si>
  <si>
    <t>Доказанные запасы представляют собой запасы, о наличии которых получено подтверждение с высокой степенью уверенности посредством анализа истории разработки и/или анализа объемного метода на основе геологических и инженерных данных. Доказанные запасы имеют более чем 90%-ю вероятность добычи, основаны на доступных свидетельствах и учитывают технические и экономические факторы.</t>
  </si>
  <si>
    <t>изменение индекса РТС к прошлому году</t>
  </si>
  <si>
    <t>млн акций</t>
  </si>
  <si>
    <t>млн АДР</t>
  </si>
  <si>
    <t>изменение к прошлому году</t>
  </si>
  <si>
    <r>
      <t>Газ, млрд м</t>
    </r>
    <r>
      <rPr>
        <b/>
        <vertAlign val="superscript"/>
        <sz val="8"/>
        <color indexed="9"/>
        <rFont val="Times New Roman"/>
        <family val="1"/>
        <charset val="204"/>
      </rPr>
      <t>3</t>
    </r>
  </si>
  <si>
    <t>Нефть, млн барр. н. э.</t>
  </si>
  <si>
    <t>Стоимость доказанных и вероятных запасов*,</t>
  </si>
  <si>
    <r>
      <t>Всего А+В+С</t>
    </r>
    <r>
      <rPr>
        <vertAlign val="subscript"/>
        <sz val="9"/>
        <rFont val="Times New Roman"/>
        <family val="1"/>
        <charset val="204"/>
      </rPr>
      <t>1</t>
    </r>
  </si>
  <si>
    <r>
      <t>из них А+В+С</t>
    </r>
    <r>
      <rPr>
        <vertAlign val="subscript"/>
        <sz val="9"/>
        <rFont val="Times New Roman"/>
        <family val="1"/>
        <charset val="204"/>
      </rPr>
      <t>1</t>
    </r>
    <r>
      <rPr>
        <sz val="8"/>
        <rFont val="Times New Roman"/>
        <family val="1"/>
        <charset val="204"/>
      </rPr>
      <t>, прошедшие оценку, %</t>
    </r>
  </si>
  <si>
    <t>Запасы газа обществ Группы Газпром на территории Российской Федерации</t>
  </si>
  <si>
    <t>НПЗ в г. Панчево</t>
  </si>
  <si>
    <t>НПЗ в г. Нови-Сад</t>
  </si>
  <si>
    <t>Cера, тыс. т</t>
  </si>
  <si>
    <r>
      <t>Гелий, тыс. м</t>
    </r>
    <r>
      <rPr>
        <vertAlign val="superscript"/>
        <sz val="8"/>
        <rFont val="Times New Roman"/>
        <family val="1"/>
        <charset val="204"/>
      </rPr>
      <t>3</t>
    </r>
  </si>
  <si>
    <t>Одорант, тыс. т</t>
  </si>
  <si>
    <t>ШФЛУ тыс. т</t>
  </si>
  <si>
    <t>Этан, тыс. т</t>
  </si>
  <si>
    <t>Техуглерод, тыс. т</t>
  </si>
  <si>
    <t>Метанол, тыс. т</t>
  </si>
  <si>
    <t>Пентан-гексановая фракция (ПГФ), тыс. т</t>
  </si>
  <si>
    <t>ОАО «Газпром» и его основные дочерние общества со 100%-ным участием*</t>
  </si>
  <si>
    <t>ШФЛУ, тыс. т</t>
  </si>
  <si>
    <t>ПГФ, тыс. т</t>
  </si>
  <si>
    <t>Сера, тыс. т</t>
  </si>
  <si>
    <t>Бензин газовый стабильный тыс. т</t>
  </si>
  <si>
    <t>Мономеры, жидкие и мономерсодержащие углеводородные  фракции, тыс. т</t>
  </si>
  <si>
    <t>Полимеры и изделия, тыс. т</t>
  </si>
  <si>
    <t>Синтетические каучуки, тыс. т</t>
  </si>
  <si>
    <t>Продукция органического синтеза, тыс. т</t>
  </si>
  <si>
    <t>Метил третбутиловый эфир (МТБЭ), тыс. т</t>
  </si>
  <si>
    <t>Минеральные удобрения и сырье для них, тыс. т</t>
  </si>
  <si>
    <t>Шины, млн шт.</t>
  </si>
  <si>
    <r>
      <t xml:space="preserve">* </t>
    </r>
    <r>
      <rPr>
        <sz val="8"/>
        <rFont val="Times New Roman"/>
        <family val="1"/>
        <charset val="204"/>
      </rPr>
      <t>Категории лицензий в соответствии с российским законодательством.</t>
    </r>
  </si>
  <si>
    <t>Категория лицензии **</t>
  </si>
  <si>
    <t>Тип месторождения *</t>
  </si>
  <si>
    <r>
      <t xml:space="preserve">Год истечения срока лицензии </t>
    </r>
    <r>
      <rPr>
        <b/>
        <sz val="8"/>
        <color indexed="9"/>
        <rFont val="Times New Roman"/>
        <family val="1"/>
        <charset val="204"/>
      </rPr>
      <t>***</t>
    </r>
  </si>
  <si>
    <t xml:space="preserve">Тип лицензии * </t>
  </si>
  <si>
    <t>Газ,  млн т у. т.</t>
  </si>
  <si>
    <t>* Cостав учитываемых обществ приведен в Глоссарии.</t>
  </si>
  <si>
    <t>Конденсат, млн т у. т.</t>
  </si>
  <si>
    <t xml:space="preserve">Распределение добычи углеводородов Группой Газпром по регионам России </t>
  </si>
  <si>
    <t>Газовый конденсат,  млн т у. т.</t>
  </si>
  <si>
    <t>Газовый конденсат,  млн барр. н. э.</t>
  </si>
  <si>
    <t>Нефть,  млн т у. т.</t>
  </si>
  <si>
    <t>Нефть,  млн барр. н. э.</t>
  </si>
  <si>
    <t>Всего добыча,  млн т у. т.</t>
  </si>
  <si>
    <t>Всего добыча,  млн барр. н. э.</t>
  </si>
  <si>
    <t>Геологоразведка, эксплуатационное бурение и промысловые мощности</t>
  </si>
  <si>
    <t>Районы проведения геолого-разведочных работ в России</t>
  </si>
  <si>
    <t>Основные показатели геолого-разведочных работ Группы Газпром на углеводороды на территории России</t>
  </si>
  <si>
    <t>2005*</t>
  </si>
  <si>
    <t>в т.ч. продуктивные, ед.</t>
  </si>
  <si>
    <t xml:space="preserve">Эффективность бурения,  т у. т./м </t>
  </si>
  <si>
    <t xml:space="preserve">Эффективность бурения,  барр. н. э./м </t>
  </si>
  <si>
    <t>Прирост запасов по результатам геолого-разведочных работ и коэффициент восполнения запасов</t>
  </si>
  <si>
    <t>Прирост запасов в результате геолого-разведочных работ</t>
  </si>
  <si>
    <r>
      <t>Природный газ, млрд м</t>
    </r>
    <r>
      <rPr>
        <vertAlign val="superscript"/>
        <sz val="8"/>
        <rFont val="Times New Roman"/>
        <family val="1"/>
        <charset val="204"/>
      </rPr>
      <t>3</t>
    </r>
  </si>
  <si>
    <t>Природный газ, млн т у. т.</t>
  </si>
  <si>
    <t>Всего, млн т у. т.</t>
  </si>
  <si>
    <t>Природный газ, млн барр. н. э.</t>
  </si>
  <si>
    <t>Всего, млн барр. н. э.</t>
  </si>
  <si>
    <t>Природный газ</t>
  </si>
  <si>
    <t>Конденсат</t>
  </si>
  <si>
    <t>11 900</t>
  </si>
  <si>
    <t>8 707</t>
  </si>
  <si>
    <t>9 162</t>
  </si>
  <si>
    <t>6 266</t>
  </si>
  <si>
    <t>36 205</t>
  </si>
  <si>
    <t>34 852</t>
  </si>
  <si>
    <t>1 649</t>
  </si>
  <si>
    <t>2 704</t>
  </si>
  <si>
    <t>14 426</t>
  </si>
  <si>
    <t>54 525</t>
  </si>
  <si>
    <t>Запасы категории А рассчитываются для части разбуренной залежи в соответствии с утвержденным проектом разработки месторождения нефти или газа. Они представляют собой запасы, проанализированные в существенных деталях.</t>
  </si>
  <si>
    <t>** В соответствии с законодательством России недропользователь не имеет безусловного права на разработку запасов, обнаруженных им на участках лицензий с целью геологического изучения и за пределами лицензионных участков. Такие запасы передаются в нераспределенный фонд недр Российской Федерации. В дальнейшем недропользователь имеет преимущественное право на получение лицензии на их разработку.</t>
  </si>
  <si>
    <t>Газ, млн т у. т.</t>
  </si>
  <si>
    <t>Газ, млн барр. н. э.</t>
  </si>
  <si>
    <t>Нефть, млн т у. т.</t>
  </si>
  <si>
    <t>По состоянию на 31 декабря</t>
  </si>
  <si>
    <t>Доказанные</t>
  </si>
  <si>
    <t>Вероятные</t>
  </si>
  <si>
    <t>Доказанные и вероятные</t>
  </si>
  <si>
    <t>Газовый конденсат, млн т</t>
  </si>
  <si>
    <t>Нефть, млн т</t>
  </si>
  <si>
    <t xml:space="preserve">Текущая приведенная стоимость </t>
  </si>
  <si>
    <t>ЗАО «Пургаз»</t>
  </si>
  <si>
    <t>-</t>
  </si>
  <si>
    <t>Газ</t>
  </si>
  <si>
    <t>Нефть</t>
  </si>
  <si>
    <t>Всего</t>
  </si>
  <si>
    <t>млн т</t>
  </si>
  <si>
    <t>Прирост запасов за счет геологоразведки</t>
  </si>
  <si>
    <t>Получение лицензий</t>
  </si>
  <si>
    <t>Сдача лицензий</t>
  </si>
  <si>
    <t xml:space="preserve">Приобретение активов </t>
  </si>
  <si>
    <t>Выбытие активов</t>
  </si>
  <si>
    <t>* Отбор не отражает объемы газа, проданные в ПХГ.</t>
  </si>
  <si>
    <t>Производство продукции переработки основными дочерними обществами  Группы Газпром (без учета давальческого сырья)</t>
  </si>
  <si>
    <t>ОАО «ОГК-2» *</t>
  </si>
  <si>
    <t>ОАО «ОГК-6» *</t>
  </si>
  <si>
    <t>ОАО «ТГК-1» *</t>
  </si>
  <si>
    <r>
      <t xml:space="preserve">В 2010 г. строительством поисковой скважины глубиной 3 230 м завершена реализация СРП. </t>
    </r>
    <r>
      <rPr>
        <i/>
        <sz val="8"/>
        <rFont val="Times New Roman"/>
        <family val="1"/>
        <charset val="204"/>
      </rPr>
      <t>Газпром</t>
    </r>
    <r>
      <rPr>
        <sz val="8"/>
        <rFont val="Times New Roman"/>
        <family val="1"/>
        <charset val="204"/>
      </rPr>
      <t xml:space="preserve"> выполнил лицензионные обязательства в полном объеме и в соответствии с условиями СРП.  По результатам геолого-геофизических исследований (сейсморазведка 2D – 
4 892 пог. км, сейсморазведка 3D – 570 км</t>
    </r>
    <r>
      <rPr>
        <vertAlign val="superscript"/>
        <sz val="8"/>
        <rFont val="Times New Roman"/>
        <family val="1"/>
        <charset val="204"/>
      </rPr>
      <t>2</t>
    </r>
    <r>
      <rPr>
        <sz val="8"/>
        <rFont val="Times New Roman"/>
        <family val="1"/>
        <charset val="204"/>
      </rPr>
      <t xml:space="preserve">, строительство трех поисковых скважин, проходка 10 013  м) получена информация о строении блока, сформирована электронная база геолого-геофизических данных по блоку 
№  26.
</t>
    </r>
  </si>
  <si>
    <t>Основные технические характеристики газотранспортной системы Единой системы газоснабжения России</t>
  </si>
  <si>
    <t>Поступление и распределение газа, транспортированного по газотранспортной системе Единой системы газоснабжения России</t>
  </si>
  <si>
    <t>Объем  продаж газа в страны БСС</t>
  </si>
  <si>
    <r>
      <t>долл. США * / 1 000 м</t>
    </r>
    <r>
      <rPr>
        <vertAlign val="superscript"/>
        <sz val="8"/>
        <rFont val="Times New Roman"/>
        <family val="1"/>
        <charset val="204"/>
      </rPr>
      <t>3</t>
    </r>
  </si>
  <si>
    <r>
      <t>евро * / 1 000 м</t>
    </r>
    <r>
      <rPr>
        <vertAlign val="superscript"/>
        <sz val="8"/>
        <rFont val="Times New Roman"/>
        <family val="1"/>
        <charset val="204"/>
      </rPr>
      <t>3</t>
    </r>
  </si>
  <si>
    <r>
      <t>руб. / 1 000 м</t>
    </r>
    <r>
      <rPr>
        <vertAlign val="superscript"/>
        <sz val="8"/>
        <rFont val="Times New Roman"/>
        <family val="1"/>
        <charset val="204"/>
      </rPr>
      <t>3</t>
    </r>
  </si>
  <si>
    <t>Средняя цена реализации газа (за вычетом НДС, акциза и таможенных пошлин)</t>
  </si>
  <si>
    <t>Выручка от продажи газа (за вычетом НДС, акциза и таможенных пошлин)</t>
  </si>
  <si>
    <r>
      <t>Поставка потребителям России по газотранспортной системе Единой системы газоснабжения (без учета технологических нужд ГТС) *, млрд м</t>
    </r>
    <r>
      <rPr>
        <vertAlign val="superscript"/>
        <sz val="8"/>
        <rFont val="Times New Roman"/>
        <family val="1"/>
        <charset val="204"/>
      </rPr>
      <t xml:space="preserve">3 </t>
    </r>
  </si>
  <si>
    <t>Реализация нефти, газового конденсата Группой Газпром</t>
  </si>
  <si>
    <t>Выручка от реализации продуктов нефтегазопереработки (за вычетом НДС, акциза и таможенных пошлин), млн долл. США *</t>
  </si>
  <si>
    <t xml:space="preserve">ОАО «Газпром» и его основные дочерние общества со 100%-ным участием * </t>
  </si>
  <si>
    <t>Страна</t>
  </si>
  <si>
    <t>Год начала проекта</t>
  </si>
  <si>
    <t>Ход реализации проекта</t>
  </si>
  <si>
    <t>Алжир</t>
  </si>
  <si>
    <t>2009 г.</t>
  </si>
  <si>
    <t>Венесуэла</t>
  </si>
  <si>
    <t>2005 г.</t>
  </si>
  <si>
    <t>Ведется обсуждение модели реализации проекта и подготовка документации для подачи заявки на получение лицензии на проведение ГРР.</t>
  </si>
  <si>
    <t xml:space="preserve">Узбекистан </t>
  </si>
  <si>
    <t>2004 г.</t>
  </si>
  <si>
    <t>Наименование, цель и описание проекта</t>
  </si>
  <si>
    <t>Условия участия в проекте</t>
  </si>
  <si>
    <t>Проведение ГРР на нефтегазоперспективных площадях Сарикамыш, Саргазон, Ренган и Западный Шаамбары.</t>
  </si>
  <si>
    <t>Область</t>
  </si>
  <si>
    <t>Поступление в газотранспортную систему, всего</t>
  </si>
  <si>
    <t>Сокращение запаса газа в газотранспортной системе</t>
  </si>
  <si>
    <t>Распределение из газотранспортной системы, всего</t>
  </si>
  <si>
    <t>Поставка внутри России</t>
  </si>
  <si>
    <t>Собственные технологические нужды газотранспортной системы и ПХГ</t>
  </si>
  <si>
    <t>Запасы углеводородов обществ Группы Газпром на территории Российской Федерации</t>
  </si>
  <si>
    <t>Транспортировка газа</t>
  </si>
  <si>
    <t>Мера</t>
  </si>
  <si>
    <t>Соответствие</t>
  </si>
  <si>
    <r>
      <t>1 млрд м</t>
    </r>
    <r>
      <rPr>
        <vertAlign val="superscript"/>
        <sz val="8"/>
        <color indexed="63"/>
        <rFont val="Times New Roman"/>
        <family val="1"/>
        <charset val="204"/>
      </rPr>
      <t xml:space="preserve">3 </t>
    </r>
    <r>
      <rPr>
        <sz val="8"/>
        <color indexed="63"/>
        <rFont val="Times New Roman"/>
        <family val="1"/>
        <charset val="204"/>
      </rPr>
      <t>природного газа</t>
    </r>
  </si>
  <si>
    <r>
      <t>1 млрд фут</t>
    </r>
    <r>
      <rPr>
        <vertAlign val="superscript"/>
        <sz val="8"/>
        <color indexed="63"/>
        <rFont val="Times New Roman"/>
        <family val="1"/>
        <charset val="204"/>
      </rPr>
      <t>3</t>
    </r>
    <r>
      <rPr>
        <sz val="8"/>
        <color indexed="63"/>
        <rFont val="Times New Roman"/>
        <family val="1"/>
        <charset val="204"/>
      </rPr>
      <t xml:space="preserve"> природного газа</t>
    </r>
  </si>
  <si>
    <t>1 т нефти</t>
  </si>
  <si>
    <t>Квартальная добыча нефти Группой Газпром на территории Российской Федерации</t>
  </si>
  <si>
    <t>Квартальная добыча газового конденсата Группой Газпром на территории Российской Федерации</t>
  </si>
  <si>
    <t>Месторождение Бадра в Ираке</t>
  </si>
  <si>
    <t>2003 г.</t>
  </si>
  <si>
    <t>Кыргызстан</t>
  </si>
  <si>
    <t>2006 г.</t>
  </si>
  <si>
    <t>Переоценка</t>
  </si>
  <si>
    <t>Добыча (включая потери)</t>
  </si>
  <si>
    <t>Конденсат, млн т</t>
  </si>
  <si>
    <t>Коэффициент восполнения запасов</t>
  </si>
  <si>
    <t>Разведочное бурение, тыс. м</t>
  </si>
  <si>
    <t>Сейсморазведка 2 D, тыс. пог. км</t>
  </si>
  <si>
    <r>
      <t>Сейсморазведка 3 D, тыс. км</t>
    </r>
    <r>
      <rPr>
        <vertAlign val="superscript"/>
        <sz val="8"/>
        <rFont val="Times New Roman"/>
        <family val="1"/>
        <charset val="204"/>
      </rPr>
      <t>2</t>
    </r>
  </si>
  <si>
    <t>Законченные строительством поисково-разведочные скважины, ед.</t>
  </si>
  <si>
    <t>в т.ч.</t>
  </si>
  <si>
    <t>на газ</t>
  </si>
  <si>
    <t>на нефть</t>
  </si>
  <si>
    <t>Разрабатываемые месторождения, ед.</t>
  </si>
  <si>
    <t>Газовые эксплуатационные скважины, ед.</t>
  </si>
  <si>
    <t>Нефтяные эксплуатационные скважины, ед.</t>
  </si>
  <si>
    <t>Установки комплексной и предварительной подготовки газа, ед.</t>
  </si>
  <si>
    <r>
      <t>Проектная суммарная производительность УКПГ, млрд м</t>
    </r>
    <r>
      <rPr>
        <vertAlign val="superscript"/>
        <sz val="8"/>
        <rFont val="Times New Roman"/>
        <family val="1"/>
        <charset val="204"/>
      </rPr>
      <t>3</t>
    </r>
    <r>
      <rPr>
        <sz val="8"/>
        <rFont val="Times New Roman"/>
        <family val="1"/>
        <charset val="204"/>
      </rPr>
      <t xml:space="preserve"> в год</t>
    </r>
  </si>
  <si>
    <t>Дожимные компрессорные станции (ДКС), ед.</t>
  </si>
  <si>
    <t>Установленная мощность ДКС, МВт</t>
  </si>
  <si>
    <t>Шельф</t>
  </si>
  <si>
    <t>За год, закончившийся 31 декабря</t>
  </si>
  <si>
    <t>Добыча газа</t>
  </si>
  <si>
    <t>Добыча газового конденсата</t>
  </si>
  <si>
    <t>Добыча нефти</t>
  </si>
  <si>
    <t>Капитальный ремонт, км</t>
  </si>
  <si>
    <t>Продажа тепла и электроэнергии Группой Газпром</t>
  </si>
  <si>
    <t>Реализация электроэнергии, млрд кВт●ч</t>
  </si>
  <si>
    <t>2013****</t>
  </si>
  <si>
    <r>
      <t>ООО «Заполярнефть»</t>
    </r>
    <r>
      <rPr>
        <vertAlign val="superscript"/>
        <sz val="8"/>
        <rFont val="Times New Roman"/>
        <family val="1"/>
        <charset val="204"/>
      </rPr>
      <t xml:space="preserve"> </t>
    </r>
    <r>
      <rPr>
        <sz val="8"/>
        <rFont val="Times New Roman"/>
        <family val="1"/>
        <charset val="204"/>
      </rPr>
      <t>*****</t>
    </r>
  </si>
  <si>
    <t>ООО «НК Сибнефть-Югра» *****</t>
  </si>
  <si>
    <t>ОАО «Газпромнефть-Ноябрьскнефтегаз» *****</t>
  </si>
  <si>
    <t>1 т газового конденсата</t>
  </si>
  <si>
    <t>1 барр. нефти</t>
  </si>
  <si>
    <t>1 барр. газового конденсата</t>
  </si>
  <si>
    <t>1 км</t>
  </si>
  <si>
    <t>1 т у. т.</t>
  </si>
  <si>
    <r>
      <t>1 тыс. м</t>
    </r>
    <r>
      <rPr>
        <vertAlign val="superscript"/>
        <sz val="8"/>
        <color indexed="63"/>
        <rFont val="Times New Roman"/>
        <family val="1"/>
        <charset val="204"/>
      </rPr>
      <t>3</t>
    </r>
    <r>
      <rPr>
        <sz val="8"/>
        <color indexed="63"/>
        <rFont val="Times New Roman"/>
        <family val="1"/>
        <charset val="204"/>
      </rPr>
      <t xml:space="preserve"> природного газа</t>
    </r>
  </si>
  <si>
    <t xml:space="preserve">1 т нефти, </t>
  </si>
  <si>
    <r>
      <t>млрд фут</t>
    </r>
    <r>
      <rPr>
        <vertAlign val="superscript"/>
        <sz val="8"/>
        <color indexed="63"/>
        <rFont val="Times New Roman"/>
        <family val="1"/>
        <charset val="204"/>
      </rPr>
      <t>3</t>
    </r>
    <r>
      <rPr>
        <sz val="8"/>
        <color indexed="63"/>
        <rFont val="Times New Roman"/>
        <family val="1"/>
        <charset val="204"/>
      </rPr>
      <t xml:space="preserve"> природного газа</t>
    </r>
  </si>
  <si>
    <r>
      <t>млрд м</t>
    </r>
    <r>
      <rPr>
        <vertAlign val="superscript"/>
        <sz val="8"/>
        <color indexed="63"/>
        <rFont val="Times New Roman"/>
        <family val="1"/>
        <charset val="204"/>
      </rPr>
      <t xml:space="preserve">3 </t>
    </r>
    <r>
      <rPr>
        <sz val="8"/>
        <color indexed="63"/>
        <rFont val="Times New Roman"/>
        <family val="1"/>
        <charset val="204"/>
      </rPr>
      <t>природного газа</t>
    </r>
  </si>
  <si>
    <t>кг,</t>
  </si>
  <si>
    <t xml:space="preserve">фунтов, </t>
  </si>
  <si>
    <t>барр. нефти</t>
  </si>
  <si>
    <t>барр. газового конденсата</t>
  </si>
  <si>
    <t>т нефти</t>
  </si>
  <si>
    <t>т газового конденсата</t>
  </si>
  <si>
    <t>мили</t>
  </si>
  <si>
    <r>
      <t>м</t>
    </r>
    <r>
      <rPr>
        <vertAlign val="superscript"/>
        <sz val="8"/>
        <color indexed="63"/>
        <rFont val="Times New Roman"/>
        <family val="1"/>
        <charset val="204"/>
      </rPr>
      <t>3</t>
    </r>
    <r>
      <rPr>
        <sz val="8"/>
        <color indexed="63"/>
        <rFont val="Times New Roman"/>
        <family val="1"/>
        <charset val="204"/>
      </rPr>
      <t xml:space="preserve"> природного газа,</t>
    </r>
  </si>
  <si>
    <t>т газового конденсата,</t>
  </si>
  <si>
    <t>т у. т.</t>
  </si>
  <si>
    <t>барр. н. э.</t>
  </si>
  <si>
    <t>Термины и сокращения</t>
  </si>
  <si>
    <t>АДР ОАО «Газпром»</t>
  </si>
  <si>
    <t>Американская депозитарная расписка, выпущенная на акции ОАО «Газпром». Эквивалентна четырем обыкновенным акциям ОАО «Газпром».</t>
  </si>
  <si>
    <t>Барр.</t>
  </si>
  <si>
    <t>Баррель</t>
  </si>
  <si>
    <t>Баррель нефтяного эквивалента</t>
  </si>
  <si>
    <t>БСС</t>
  </si>
  <si>
    <t>Бывшие республики Союза Советских Социалистических Республик, кроме Российской Федерации</t>
  </si>
  <si>
    <t>ГПА</t>
  </si>
  <si>
    <t>Газоперекачивающий агрегат</t>
  </si>
  <si>
    <t>ГПЗ</t>
  </si>
  <si>
    <t>ГРР</t>
  </si>
  <si>
    <t>Геолого-разведочные работы</t>
  </si>
  <si>
    <t>Группа Газпром, Группа, Газпром</t>
  </si>
  <si>
    <t>Совокупность компаний, состоящая из ОАО «Газпром» (головная компания) и его дочерних обществ.</t>
  </si>
  <si>
    <t>ГТС</t>
  </si>
  <si>
    <t>Газотранспортная система</t>
  </si>
  <si>
    <t>Доллар США</t>
  </si>
  <si>
    <t>Зарубежные страны, кроме стран СНГ и Балтии</t>
  </si>
  <si>
    <r>
      <t>Запасы углеводородов категорий А+В+С</t>
    </r>
    <r>
      <rPr>
        <vertAlign val="subscript"/>
        <sz val="8"/>
        <rFont val="Times New Roman"/>
        <family val="1"/>
        <charset val="204"/>
      </rPr>
      <t>1</t>
    </r>
  </si>
  <si>
    <t xml:space="preserve">Разведанные запасы по российской классификации. </t>
  </si>
  <si>
    <r>
      <t>Запасы углеводородов категории С</t>
    </r>
    <r>
      <rPr>
        <vertAlign val="subscript"/>
        <sz val="8"/>
        <rFont val="Times New Roman"/>
        <family val="1"/>
        <charset val="204"/>
      </rPr>
      <t>2</t>
    </r>
  </si>
  <si>
    <r>
      <t>Запасы нефти и газа, наличие которых предполагается по геолого-геофизическим данным в пределах известных газоносных районов. Запасы категории С</t>
    </r>
    <r>
      <rPr>
        <vertAlign val="subscript"/>
        <sz val="8"/>
        <rFont val="Times New Roman"/>
        <family val="1"/>
        <charset val="204"/>
      </rPr>
      <t>2</t>
    </r>
    <r>
      <rPr>
        <sz val="8"/>
        <rFont val="Times New Roman"/>
        <family val="1"/>
        <charset val="204"/>
      </rPr>
      <t xml:space="preserve"> относятся к предварительно оцененным.</t>
    </r>
  </si>
  <si>
    <t>кВт●ч</t>
  </si>
  <si>
    <t>Киловатт в час</t>
  </si>
  <si>
    <t>КС</t>
  </si>
  <si>
    <t>Компрессорная  станция</t>
  </si>
  <si>
    <t>ЛФБ</t>
  </si>
  <si>
    <t>Лондонская фондовая биржа</t>
  </si>
  <si>
    <r>
      <t>м</t>
    </r>
    <r>
      <rPr>
        <vertAlign val="superscript"/>
        <sz val="8"/>
        <rFont val="Times New Roman"/>
        <family val="1"/>
        <charset val="204"/>
      </rPr>
      <t>3</t>
    </r>
  </si>
  <si>
    <t>Кубический метр природного газа, измеряемый под давлением в одну атмосферу при 20°С.</t>
  </si>
  <si>
    <t>ММВБ</t>
  </si>
  <si>
    <t>Московская межбанковская валютная биржа</t>
  </si>
  <si>
    <t>НДС</t>
  </si>
  <si>
    <t>Налог на добавленную стоимость</t>
  </si>
  <si>
    <t>НИОКР</t>
  </si>
  <si>
    <t>Научно-исследовательские и опытно-конструкторские работы</t>
  </si>
  <si>
    <t>НПЗ</t>
  </si>
  <si>
    <t>Нефтеперерабатывающий завод</t>
  </si>
  <si>
    <t>ОАО «Газпром» и его основные дочерние общества со 100%-ным участием</t>
  </si>
  <si>
    <t>Восточная Сибирь и Дальний Восток (Сибирский и Дальневосточный федеральный округ)</t>
  </si>
  <si>
    <t>Чаядинское</t>
  </si>
  <si>
    <t>Чиканское</t>
  </si>
  <si>
    <t>Собинское</t>
  </si>
  <si>
    <t>ООО «Газпром добыча Красноярск»</t>
  </si>
  <si>
    <t>Российский шельф</t>
  </si>
  <si>
    <t>Штокмановское</t>
  </si>
  <si>
    <t>ООО «Газпром нефть шельф»</t>
  </si>
  <si>
    <t>Приразломное</t>
  </si>
  <si>
    <t>Каменномысское-море</t>
  </si>
  <si>
    <t>Северо-Каменномысское</t>
  </si>
  <si>
    <t>Долгинское</t>
  </si>
  <si>
    <t>Семаковское</t>
  </si>
  <si>
    <t>Киринское</t>
  </si>
  <si>
    <t>Газпром в энергетике России и мира</t>
  </si>
  <si>
    <t>Развитие и реконструкция газотранспортной системы на территории России</t>
  </si>
  <si>
    <t>Количество технических отказов на 1 000 км</t>
  </si>
  <si>
    <t>По состоянию на  31 декабря</t>
  </si>
  <si>
    <t>Газоперекачивающие агрегаты (ГПА), ед.</t>
  </si>
  <si>
    <t>Протяженность, км</t>
  </si>
  <si>
    <t>Выработка электроэнергии **</t>
  </si>
  <si>
    <t>* Не включает экономию прочих топливно-энергетических ресурсов.</t>
  </si>
  <si>
    <r>
      <t>Всего *,</t>
    </r>
    <r>
      <rPr>
        <sz val="8"/>
        <rFont val="Times New Roman"/>
        <family val="1"/>
        <charset val="204"/>
      </rPr>
      <t xml:space="preserve"> тыс. т у.т.</t>
    </r>
  </si>
  <si>
    <t>Федеральное агентство по управлению государственным имуществом</t>
  </si>
  <si>
    <t>Производственные мощности Группы Газпром на территории России</t>
  </si>
  <si>
    <t>Действующие и перспективные объекты ПХГ за рубежом</t>
  </si>
  <si>
    <t>Тепловые мощности, Гкал/ч</t>
  </si>
  <si>
    <r>
      <t>руб. за 1 000 м</t>
    </r>
    <r>
      <rPr>
        <b/>
        <vertAlign val="superscript"/>
        <sz val="8"/>
        <color indexed="9"/>
        <rFont val="Times New Roman"/>
        <family val="1"/>
        <charset val="204"/>
      </rPr>
      <t>3</t>
    </r>
  </si>
  <si>
    <t>50 лет и старше</t>
  </si>
  <si>
    <t>Коммунальный комплекс</t>
  </si>
  <si>
    <t>Соглашение об общих принципах проведения геологического изучения недр.</t>
  </si>
  <si>
    <r>
      <t>23,7 млрд м</t>
    </r>
    <r>
      <rPr>
        <vertAlign val="superscript"/>
        <sz val="8"/>
        <rFont val="Times New Roman"/>
        <family val="1"/>
        <charset val="204"/>
      </rPr>
      <t>3</t>
    </r>
    <r>
      <rPr>
        <sz val="8"/>
        <rFont val="Times New Roman"/>
        <family val="1"/>
        <charset val="204"/>
      </rPr>
      <t xml:space="preserve"> газа на первом этапе разработки</t>
    </r>
  </si>
  <si>
    <r>
      <t>15,3 млрд м</t>
    </r>
    <r>
      <rPr>
        <vertAlign val="superscript"/>
        <sz val="8"/>
        <rFont val="Times New Roman"/>
        <family val="1"/>
        <charset val="204"/>
      </rPr>
      <t>3</t>
    </r>
    <r>
      <rPr>
        <sz val="8"/>
        <rFont val="Times New Roman"/>
        <family val="1"/>
        <charset val="204"/>
      </rPr>
      <t xml:space="preserve"> газа</t>
    </r>
  </si>
  <si>
    <t xml:space="preserve">Объемы сделок Группы Газпром с СПГ </t>
  </si>
  <si>
    <r>
      <t>млрд м</t>
    </r>
    <r>
      <rPr>
        <vertAlign val="superscript"/>
        <sz val="8"/>
        <rFont val="Times New Roman"/>
        <family val="1"/>
        <charset val="204"/>
      </rPr>
      <t>3</t>
    </r>
  </si>
  <si>
    <t>Евроазиатская газотранспортная система</t>
  </si>
  <si>
    <t>Основные газотранспортные проекты Группы Газпром</t>
  </si>
  <si>
    <t>Наименование</t>
  </si>
  <si>
    <t>Назначение</t>
  </si>
  <si>
    <t>Проектные характеристики</t>
  </si>
  <si>
    <t>Протяженность</t>
  </si>
  <si>
    <t>Количество КС / общая мощность КС</t>
  </si>
  <si>
    <t>2 200 км</t>
  </si>
  <si>
    <t>13 КС / 968 МВт</t>
  </si>
  <si>
    <r>
      <t>20,5-28,5 млрд м</t>
    </r>
    <r>
      <rPr>
        <vertAlign val="superscript"/>
        <sz val="8"/>
        <rFont val="Times New Roman"/>
        <family val="1"/>
        <charset val="204"/>
      </rPr>
      <t xml:space="preserve">3 </t>
    </r>
    <r>
      <rPr>
        <sz val="8"/>
        <rFont val="Times New Roman"/>
        <family val="1"/>
        <charset val="204"/>
      </rPr>
      <t>в год на различных участках.</t>
    </r>
  </si>
  <si>
    <t>Ввод в эксплуатацию линейной части завершен в 2006 г.</t>
  </si>
  <si>
    <t>Обеспечение поставок газа на Северо-Запад России и в газопровод «Северный поток»</t>
  </si>
  <si>
    <t>«Северный поток»</t>
  </si>
  <si>
    <t>Транспортировка российского природного газа в страны Западной Европы по дну Балтийского моря</t>
  </si>
  <si>
    <t>Вернуться к Содержанию</t>
  </si>
  <si>
    <r>
      <t>Объем активной емкости по обустройству, млрд м</t>
    </r>
    <r>
      <rPr>
        <vertAlign val="superscript"/>
        <sz val="8"/>
        <rFont val="Times New Roman"/>
        <family val="1"/>
        <charset val="204"/>
      </rPr>
      <t>3</t>
    </r>
    <r>
      <rPr>
        <sz val="8"/>
        <rFont val="Times New Roman"/>
        <family val="1"/>
        <charset val="204"/>
      </rPr>
      <t xml:space="preserve"> </t>
    </r>
  </si>
  <si>
    <t>Количество эксплуатационных скважин на ПХГ, ед.</t>
  </si>
  <si>
    <t>Хранение газа на территории России</t>
  </si>
  <si>
    <t xml:space="preserve">Латвия </t>
  </si>
  <si>
    <t>Германия</t>
  </si>
  <si>
    <t>Австрия</t>
  </si>
  <si>
    <t>Великобритания</t>
  </si>
  <si>
    <t>Производство тепла и электроэнергии</t>
  </si>
  <si>
    <t>Производство электроэнергии, млрд кВт●ч</t>
  </si>
  <si>
    <t>Производство тепла, млн Гкал</t>
  </si>
  <si>
    <t>млн руб.</t>
  </si>
  <si>
    <t>Россия</t>
  </si>
  <si>
    <t>Страны БСС</t>
  </si>
  <si>
    <t>Единица измерения</t>
  </si>
  <si>
    <t>Макроэкономические данные</t>
  </si>
  <si>
    <t>Металлургия</t>
  </si>
  <si>
    <t>Агрохимия</t>
  </si>
  <si>
    <t>Население</t>
  </si>
  <si>
    <t xml:space="preserve">Прочее </t>
  </si>
  <si>
    <t xml:space="preserve">  </t>
  </si>
  <si>
    <t>Всем категориям</t>
  </si>
  <si>
    <t>Промышленности</t>
  </si>
  <si>
    <t>Населению</t>
  </si>
  <si>
    <t>Справочник</t>
  </si>
  <si>
    <t>Рыночные индикаторы</t>
  </si>
  <si>
    <t>Лицензии</t>
  </si>
  <si>
    <t>Основные проекты Группы Газпром в области поиска, разведки и добычи углеводородов в зарубежных странах</t>
  </si>
  <si>
    <r>
      <t>На участке № 64 выполнены в 2008–2009 гг. 4 294 км</t>
    </r>
    <r>
      <rPr>
        <vertAlign val="superscript"/>
        <sz val="8"/>
        <rFont val="Times New Roman"/>
        <family val="1"/>
        <charset val="204"/>
      </rPr>
      <t>2</t>
    </r>
    <r>
      <rPr>
        <sz val="8"/>
        <rFont val="Times New Roman"/>
        <family val="1"/>
        <charset val="204"/>
      </rPr>
      <t xml:space="preserve"> сейсморазведочных работ 3D.</t>
    </r>
    <r>
      <rPr>
        <sz val="14"/>
        <rFont val="Times New Roman"/>
        <family val="1"/>
        <charset val="204"/>
      </rPr>
      <t xml:space="preserve"> </t>
    </r>
    <r>
      <rPr>
        <sz val="8"/>
        <rFont val="Times New Roman"/>
        <family val="1"/>
        <charset val="204"/>
      </rPr>
      <t xml:space="preserve">В 2010–2012 гг. планировалось бурение 6 поисковых и 6 разведочных скважин. В январе 2011 г. начато бурение первой скважины. Работы по проектам приостановлены в связи с дестабилизацией обстановки в стране. </t>
    </r>
  </si>
  <si>
    <t xml:space="preserve">Финляндия </t>
  </si>
  <si>
    <t xml:space="preserve">Германия </t>
  </si>
  <si>
    <t xml:space="preserve">Греция </t>
  </si>
  <si>
    <t xml:space="preserve">Италия </t>
  </si>
  <si>
    <t xml:space="preserve">Швейцария </t>
  </si>
  <si>
    <t xml:space="preserve">Нидерланды </t>
  </si>
  <si>
    <t xml:space="preserve">Турция </t>
  </si>
  <si>
    <t xml:space="preserve">Великобритания </t>
  </si>
  <si>
    <t>Босния и Герцеговина</t>
  </si>
  <si>
    <t xml:space="preserve">Болгария </t>
  </si>
  <si>
    <t xml:space="preserve">Хорватия </t>
  </si>
  <si>
    <t xml:space="preserve">Чехия </t>
  </si>
  <si>
    <t xml:space="preserve">Венгрия </t>
  </si>
  <si>
    <t xml:space="preserve">Македония </t>
  </si>
  <si>
    <t xml:space="preserve">Польша </t>
  </si>
  <si>
    <t xml:space="preserve">Румыния </t>
  </si>
  <si>
    <t>Сербия</t>
  </si>
  <si>
    <t>Словакия</t>
  </si>
  <si>
    <t xml:space="preserve">Словения </t>
  </si>
  <si>
    <t xml:space="preserve">Другие страны </t>
  </si>
  <si>
    <t>Азербайджан</t>
  </si>
  <si>
    <t>Беларусь</t>
  </si>
  <si>
    <t xml:space="preserve">Эстония </t>
  </si>
  <si>
    <t xml:space="preserve">Грузия </t>
  </si>
  <si>
    <t>Казахстан</t>
  </si>
  <si>
    <t>Литва</t>
  </si>
  <si>
    <t xml:space="preserve">Молдова </t>
  </si>
  <si>
    <t xml:space="preserve">Украина </t>
  </si>
  <si>
    <t>* Данные не являются частью финансовой отчетности и рассчитаны по обменному курсу на конец соответствующего периода.</t>
  </si>
  <si>
    <t>Участие Газпрома в обеспечении внутреннего потребления газа в России</t>
  </si>
  <si>
    <r>
      <t>Внутреннее потребление газа в России, млрд м</t>
    </r>
    <r>
      <rPr>
        <vertAlign val="superscript"/>
        <sz val="8"/>
        <rFont val="Times New Roman"/>
        <family val="1"/>
        <charset val="204"/>
      </rPr>
      <t>3</t>
    </r>
  </si>
  <si>
    <t>* К Единой системе газоснабжения не подключены газотранспортные системы Дальнего Востока России, Республики Саха (Якутия), г. Норильск.</t>
  </si>
  <si>
    <t xml:space="preserve">Структура продаж газа Группы Газпром в России по группам потребителей </t>
  </si>
  <si>
    <t>Доля</t>
  </si>
  <si>
    <t>Средневзвешенные оптовые регулируемые цены на газ в России</t>
  </si>
  <si>
    <t>Газораспределение и газификация в России</t>
  </si>
  <si>
    <t>За год, закончившийся, и по состоянию на 31 декабря</t>
  </si>
  <si>
    <t>квартиры и частные домовладения, млн ед.</t>
  </si>
  <si>
    <t>промышленные предприятия, тыс. ед.</t>
  </si>
  <si>
    <t>котельные, тыс. ед.</t>
  </si>
  <si>
    <t>коммунально-бытовые предприятия, тыс. ед.</t>
  </si>
  <si>
    <t>Энергетика *</t>
  </si>
  <si>
    <r>
      <t xml:space="preserve">* Продажи газа сектору электроэнергетики приведены без учета продаж газа электроэнергетическим компаниям </t>
    </r>
    <r>
      <rPr>
        <i/>
        <sz val="8"/>
        <rFont val="Times New Roman"/>
        <family val="1"/>
        <charset val="204"/>
      </rPr>
      <t>Группы</t>
    </r>
    <r>
      <rPr>
        <sz val="8"/>
        <rFont val="Times New Roman"/>
        <family val="1"/>
        <charset val="204"/>
      </rPr>
      <t>.</t>
    </r>
  </si>
  <si>
    <t>Объемы реализации нефти и газового конденсата, млн т</t>
  </si>
  <si>
    <t xml:space="preserve">Разведка и разработка углеводородного сырья на лицензионных участках № 19 (на шельфе Средиземного моря) и № 64 (на суше, в северной части нефтегазоносного бассейна Гадамес).  </t>
  </si>
  <si>
    <t>Экваториальная Гвинея</t>
  </si>
  <si>
    <t>Разведка и разработка блоков U и Т на шельфе Экваториальной Гвинеи</t>
  </si>
  <si>
    <t>Блоки U и T на шельфе Экваториальной Гвинеи</t>
  </si>
  <si>
    <t>Расположен в Пуровском районе Ямало-Ненецкого автономного округа Тюменской области на площади Медвежьего месторождения.</t>
  </si>
  <si>
    <t>Участок 1 введен в опытно-промышленную эксплуатацию в  2008 г. Освоение участка проводится ЗAO «Ачимгаз» – совместным предприятием с компанией Wintershall Holding GmbH.</t>
  </si>
  <si>
    <t>Участок 2 введен в эксплуатацию в 2009 г. Освоение участка проводится ООО «Газпром добыча Уренгой».</t>
  </si>
  <si>
    <r>
      <t>5,6 млрд м</t>
    </r>
    <r>
      <rPr>
        <vertAlign val="superscript"/>
        <sz val="8"/>
        <rFont val="Times New Roman"/>
        <family val="1"/>
        <charset val="204"/>
      </rPr>
      <t>3</t>
    </r>
    <r>
      <rPr>
        <sz val="8"/>
        <rFont val="Times New Roman"/>
        <family val="1"/>
        <charset val="204"/>
      </rPr>
      <t xml:space="preserve"> газа и 1,7 млн т нестабильного конденсата в год</t>
    </r>
  </si>
  <si>
    <t>Начиная с 2016 г. разработку месторождения планируется осуществлять с применением технологии обратной закачки газа (сайклинг), обеспечивающей максимальный отбор газового конденсата.</t>
  </si>
  <si>
    <t>Волго-Уральский регион</t>
  </si>
  <si>
    <t>Восточный участок Оренбургского месторождения</t>
  </si>
  <si>
    <r>
      <t xml:space="preserve">Расположен к юго-западу от г. Оренбург на площади Оренбургского НГКМ. Лицензией на разработку владеет ЗАО «Газпром нефть Оренбург». В 2010 г. в рамках консолидации деятельности по освоению нефтяных запасов </t>
    </r>
    <r>
      <rPr>
        <i/>
        <sz val="8"/>
        <rFont val="Times New Roman"/>
        <family val="1"/>
        <charset val="204"/>
      </rPr>
      <t>Группы</t>
    </r>
    <r>
      <rPr>
        <sz val="8"/>
        <rFont val="Times New Roman"/>
        <family val="1"/>
        <charset val="204"/>
      </rPr>
      <t xml:space="preserve"> в единой компании подготовлены материалы по консолидации активов ЗАО «Газпром нефть Оренбург» в ОАО «Газпром нефть».</t>
    </r>
  </si>
  <si>
    <r>
      <t>1,6 млн т нефти и 1,5 млрд м</t>
    </r>
    <r>
      <rPr>
        <vertAlign val="superscript"/>
        <sz val="8"/>
        <rFont val="Times New Roman"/>
        <family val="1"/>
        <charset val="204"/>
      </rPr>
      <t>3</t>
    </r>
    <r>
      <rPr>
        <sz val="8"/>
        <rFont val="Times New Roman"/>
        <family val="1"/>
        <charset val="204"/>
      </rPr>
      <t xml:space="preserve"> газа</t>
    </r>
  </si>
  <si>
    <t>В Программе комплексного освоения месторождений углеводородного сырья Ямало-Ненецкого автономного округа и севера Красноярского края, утвержденной приказом Минэнерго России от 10 сентября 2010 г. №441, Бованенковское НГКМ определено объектом первоочередного освоения на полуострове Ямал, как самое крупное по запасам, удачно расположенное в центральной части полуострова и наиболее изученное.</t>
  </si>
  <si>
    <t>Расположено в юго-восточной части полуострова Ямал, характеризующейся отсутствием инфраструктуры.</t>
  </si>
  <si>
    <t>7,9 млн т нефти</t>
  </si>
  <si>
    <t>2019–2021 гг.</t>
  </si>
  <si>
    <t>Гыданский полуостров</t>
  </si>
  <si>
    <t>Мессояхская группа</t>
  </si>
  <si>
    <t>Восточно-Мессояхский и Западно-Мессояхский лицензионные участки (Мессояхская группа месторождений) находятся в северной части Западно-Сибирской нефтегазоносной провинции на юго-западе Гыданского полуострова и относятся к категории крупнейших месторождений по величине разведанных запасов. Реализацией проекта разработки Мессояхской группы месторождений занимается ЗАО «Мессояханефтегаз», которой на паритетных условиях (по 50 % акций) владеют ОАО «Газпром нефть» и ОАО «ТНК-ВР».</t>
  </si>
  <si>
    <t>33 млн т н. э.</t>
  </si>
  <si>
    <t>2015 г.</t>
  </si>
  <si>
    <t>2024 г.</t>
  </si>
  <si>
    <t>По состоянию на 31 декабря 2010 г. построено 10 компрессорных станций (КС) суммарной мощностью 743 МВт.</t>
  </si>
  <si>
    <t>900 км</t>
  </si>
  <si>
    <r>
      <t>55 млрд м</t>
    </r>
    <r>
      <rPr>
        <vertAlign val="superscript"/>
        <sz val="8"/>
        <rFont val="Times New Roman"/>
        <family val="1"/>
        <charset val="204"/>
      </rPr>
      <t>3</t>
    </r>
  </si>
  <si>
    <t>около 2 446 км</t>
  </si>
  <si>
    <t>10 КС / 1475 МВт</t>
  </si>
  <si>
    <t>Транспортировка туркменистанского и казахстанского природного газа по территориям Туркменистана, Казахстана и России</t>
  </si>
  <si>
    <t>Обеспечение поставок газа со Штокмановского месторождения для потребителей Северо-Западного региона России.</t>
  </si>
  <si>
    <t>653 км</t>
  </si>
  <si>
    <t>5 КС / 416 МВт</t>
  </si>
  <si>
    <t>1 247 км</t>
  </si>
  <si>
    <t>Среднедневной объем ММВБ</t>
  </si>
  <si>
    <t>Рыночная капитализация на конец года *</t>
  </si>
  <si>
    <t>млрд долл.</t>
  </si>
  <si>
    <t>долл.</t>
  </si>
  <si>
    <t>Депозитарий по программе АДР ОАО «Газпром» BNYM</t>
  </si>
  <si>
    <t>Площадь лицензионных участков Группы Газпром на территории Российской Федерации по регионам по состоянию на 31 декабря 2010 г.</t>
  </si>
  <si>
    <t xml:space="preserve">Стандарты PRMS </t>
  </si>
  <si>
    <t>BNYM</t>
  </si>
  <si>
    <t>* В категорию включены руководители всех уровней управления.</t>
  </si>
  <si>
    <t>Руководители*:</t>
  </si>
  <si>
    <t>за рубежом ***</t>
  </si>
  <si>
    <t>*** Включает показатели NIS после  консолидации с 1 февраля 2009 г.</t>
  </si>
  <si>
    <t xml:space="preserve">Распределение добычи углеводородов Группой Газпром на территории России по федеральным округам </t>
  </si>
  <si>
    <t>**** Лицензия выдана на право пользования недрами Уренгойского НГКМ (включая Уренгойскую и Ен-Яхинскую площади).</t>
  </si>
  <si>
    <t>** В соответствии с российским законодательством существует несколько типов лицензий для изучения, геологоразведки и добычи природных ресурсов, в т. ч. 1) лицензии на геологическое изучение (НП), 2) лицензии на разведку и добычу углеводородов (НЭ); и 3) лицензии на поиск, разведку и добычу углеводородов (НР). Сокращения приведены в соответствии с классификацией, определенной российским законодательством.</t>
  </si>
  <si>
    <t>Губкинское</t>
  </si>
  <si>
    <t>51 %</t>
  </si>
  <si>
    <t>The Bank of New York Mellon</t>
  </si>
  <si>
    <t>* Тип в соответствии с действующей государственной классификацией России. НГК – нефтегазоконденсатное, НГ – нефтегазовое, ГК – газоконденсатное, Г – газовое, Н – нефтяное.</t>
  </si>
  <si>
    <t xml:space="preserve">Наименование месторождения (площади, участка) </t>
  </si>
  <si>
    <t>долл./барр.</t>
  </si>
  <si>
    <t>руб./долл.</t>
  </si>
  <si>
    <t>Средний обменный курс рубля к доллару за период</t>
  </si>
  <si>
    <t>Обменный курс рубля к доллару на конец периода</t>
  </si>
  <si>
    <t>Номинальное удорожание/девальвация обменного курса рубля к доллару (на конец периода к декабрю предыдущего года)</t>
  </si>
  <si>
    <t>Реальное удорожание обменного курса рубля к доллару (на конец периода к декабрю предыдущего года)</t>
  </si>
  <si>
    <r>
      <t>Распределение запасов углеводородов категорий A+B+C</t>
    </r>
    <r>
      <rPr>
        <b/>
        <vertAlign val="subscript"/>
        <sz val="12"/>
        <rFont val="Arial"/>
        <family val="2"/>
        <charset val="204"/>
      </rPr>
      <t>1</t>
    </r>
    <r>
      <rPr>
        <b/>
        <sz val="12"/>
        <rFont val="Arial"/>
        <family val="2"/>
        <charset val="204"/>
      </rPr>
      <t xml:space="preserve"> Группы Газпром на территории России по регионам</t>
    </r>
  </si>
  <si>
    <t>Оценка доказанных и вероятных запасов природного газа, безусловно, сопряжена с наличием многочисленных неопределенностей. Точность какой-либо оценки запасов зависит от качества доступной информации, инженерных и геологических трактовок. С учетом результатов бурения, тестирования и добычи после даты проведения аудита, запасы могут быть в значительной степени пересчитаны в меньшую или большую стороны. Изменения цен на природный газ, газовый конденсат и нефть могут также воздействовать на оценку доказанных и вероятных запасов, а также на будущую чистую выручку и настоящую чистую стоимость,  поскольку запасы оцениваются на основе цен и издержек на дату проведения аудита.</t>
  </si>
  <si>
    <t>Газо- и/или конденсатоперерабатывающий завод</t>
  </si>
  <si>
    <t>Ввод в эксплуатацию магистральных газопроводов и отводов, км</t>
  </si>
  <si>
    <t xml:space="preserve">Партнер – алжирская государственная нефтегазовая компания Sonatrach. </t>
  </si>
  <si>
    <t>Заказчик работ  – Алжирское государственное агентство по использованию углеводородных ресурсов (ALNAFT).</t>
  </si>
  <si>
    <t>Лицензионный участок Эль-Ассель в Алжире</t>
  </si>
  <si>
    <t>Боливия</t>
  </si>
  <si>
    <t>Блоки Ипати и Акио, Асеро в Боливии</t>
  </si>
  <si>
    <t>Проект «Рафаэль – Урданета,  Фаза А»: разведка и разработка месторождений природного газа на лицензионных участках блоков Урумако-I, Урумако-II в восточной части Венесуэльского залива.</t>
  </si>
  <si>
    <t>Инвестиционные блоки Урумако-I и Урумако-II в Венесуэльском заливе, блоки Хунин-6 и Аякучо-3 в бассейне реки Ориноко в Венесуэле</t>
  </si>
  <si>
    <t xml:space="preserve">Поиск, разведка, добыча и реализация углеводородов на шельфе Вьетнама. </t>
  </si>
  <si>
    <t>Основные проекты в области поиска, разведки и добычи углеводородов в зарубежных странах</t>
  </si>
  <si>
    <t>Перспективные месторождения на территории России</t>
  </si>
  <si>
    <t>Газотранспортные проекты</t>
  </si>
  <si>
    <t>Размещение основных перспективных месторождений Группы Газпром на территории России</t>
  </si>
  <si>
    <t>Основные перспективные месторождения Группы Газпром на территории России</t>
  </si>
  <si>
    <t>Наименование месторождения</t>
  </si>
  <si>
    <t>Описание</t>
  </si>
  <si>
    <t xml:space="preserve">Проектная мощность </t>
  </si>
  <si>
    <t>Срок ввода в эксплуатацию</t>
  </si>
  <si>
    <t>Срок выхода на проектную мощность</t>
  </si>
  <si>
    <t>Надым-Пур-Тазовский регион (Западная Сибирь)</t>
  </si>
  <si>
    <t>Заполярное (сеноманские залежи)</t>
  </si>
  <si>
    <r>
      <t>115 млрд м</t>
    </r>
    <r>
      <rPr>
        <vertAlign val="superscript"/>
        <sz val="8"/>
        <rFont val="Times New Roman"/>
        <family val="1"/>
        <charset val="204"/>
      </rPr>
      <t>3</t>
    </r>
    <r>
      <rPr>
        <sz val="8"/>
        <rFont val="Times New Roman"/>
        <family val="1"/>
        <charset val="204"/>
      </rPr>
      <t xml:space="preserve"> газа</t>
    </r>
  </si>
  <si>
    <t>2001 г.</t>
  </si>
  <si>
    <t>Заполярное (нижнемеловые газоконденсатные залежи)</t>
  </si>
  <si>
    <r>
      <t>15 млрд м</t>
    </r>
    <r>
      <rPr>
        <vertAlign val="superscript"/>
        <sz val="8"/>
        <rFont val="Times New Roman"/>
        <family val="1"/>
        <charset val="204"/>
      </rPr>
      <t>3</t>
    </r>
    <r>
      <rPr>
        <sz val="8"/>
        <rFont val="Times New Roman"/>
        <family val="1"/>
        <charset val="204"/>
      </rPr>
      <t xml:space="preserve"> газа</t>
    </r>
  </si>
  <si>
    <t>Харвутинская площадь Ямбургского месторождения</t>
  </si>
  <si>
    <r>
      <t>30 млрд м</t>
    </r>
    <r>
      <rPr>
        <vertAlign val="superscript"/>
        <sz val="8"/>
        <rFont val="Times New Roman"/>
        <family val="1"/>
        <charset val="204"/>
      </rPr>
      <t>3</t>
    </r>
    <r>
      <rPr>
        <sz val="8"/>
        <rFont val="Times New Roman"/>
        <family val="1"/>
        <charset val="204"/>
      </rPr>
      <t xml:space="preserve"> газа</t>
    </r>
  </si>
  <si>
    <t>1996 г.</t>
  </si>
  <si>
    <t>Западно-Песцовое (Большой Уренгой)</t>
  </si>
  <si>
    <t>Расположено западнее Песцовой площади Уренгойского месторождения.</t>
  </si>
  <si>
    <r>
      <t>2,0 млрд м</t>
    </r>
    <r>
      <rPr>
        <vertAlign val="superscript"/>
        <sz val="8"/>
        <rFont val="Times New Roman"/>
        <family val="1"/>
        <charset val="204"/>
      </rPr>
      <t>3</t>
    </r>
    <r>
      <rPr>
        <sz val="8"/>
        <rFont val="Times New Roman"/>
        <family val="1"/>
        <charset val="204"/>
      </rPr>
      <t xml:space="preserve"> газа</t>
    </r>
  </si>
  <si>
    <t>2011 г.</t>
  </si>
  <si>
    <t>Ныдинский участок Медвежьего месторождения</t>
  </si>
  <si>
    <r>
      <t>2,7 млрд м</t>
    </r>
    <r>
      <rPr>
        <vertAlign val="superscript"/>
        <sz val="8"/>
        <rFont val="Times New Roman"/>
        <family val="1"/>
        <charset val="204"/>
      </rPr>
      <t>3</t>
    </r>
    <r>
      <rPr>
        <sz val="8"/>
        <rFont val="Times New Roman"/>
        <family val="1"/>
        <charset val="204"/>
      </rPr>
      <t xml:space="preserve"> газа</t>
    </r>
  </si>
  <si>
    <t>Уренгойское (ачимовские залежи)</t>
  </si>
  <si>
    <t>Для поэтапного освоения залежи разделены на несколько участков:</t>
  </si>
  <si>
    <r>
      <t xml:space="preserve"> 7,7 млрд м</t>
    </r>
    <r>
      <rPr>
        <vertAlign val="superscript"/>
        <sz val="8"/>
        <rFont val="Times New Roman"/>
        <family val="1"/>
        <charset val="204"/>
      </rPr>
      <t>3</t>
    </r>
    <r>
      <rPr>
        <sz val="8"/>
        <rFont val="Times New Roman"/>
        <family val="1"/>
        <charset val="204"/>
      </rPr>
      <t xml:space="preserve"> газа и 3,0 млн т нестабильного конденсата в год</t>
    </r>
  </si>
  <si>
    <t>2008 г.</t>
  </si>
  <si>
    <t xml:space="preserve">Южно-Русское </t>
  </si>
  <si>
    <r>
      <t>25,0 млрд м</t>
    </r>
    <r>
      <rPr>
        <vertAlign val="superscript"/>
        <sz val="8"/>
        <rFont val="Times New Roman"/>
        <family val="1"/>
        <charset val="204"/>
      </rPr>
      <t>3</t>
    </r>
  </si>
  <si>
    <t>Полуостров Ямал и прилегающие акватории</t>
  </si>
  <si>
    <t>Бованенковское (сеноман-аптские залежи)</t>
  </si>
  <si>
    <t>2012 г.</t>
  </si>
  <si>
    <t xml:space="preserve">Арктический шельф </t>
  </si>
  <si>
    <t>Выручка от реализации нефти и газового конденсата (за вычетом НДС, акциза и таможенных пошлин), млн долл. США*</t>
  </si>
  <si>
    <t>СРТО – Торжок</t>
  </si>
  <si>
    <t xml:space="preserve">Условно-натуральная единица. Пересчет количества топлива данного вида в условное производится с помощью коэффициента, равного отношению теплосодержания 1 кг топлива данного вида к теплосодержанию 1 кг условного топлива, которое принимается равным 
29,3076 МДж. </t>
  </si>
  <si>
    <r>
      <t xml:space="preserve">Области ГРР </t>
    </r>
    <r>
      <rPr>
        <i/>
        <sz val="8"/>
        <rFont val="Times New Roman"/>
        <family val="1"/>
        <charset val="204"/>
      </rPr>
      <t>Газпрома</t>
    </r>
    <r>
      <rPr>
        <sz val="8"/>
        <rFont val="Times New Roman"/>
        <family val="1"/>
        <charset val="204"/>
      </rPr>
      <t xml:space="preserve"> в Кыргызстане</t>
    </r>
  </si>
  <si>
    <r>
      <t xml:space="preserve">Область разведочного бурения и сейсморазведочных работ </t>
    </r>
    <r>
      <rPr>
        <i/>
        <sz val="8"/>
        <rFont val="Times New Roman"/>
        <family val="1"/>
        <charset val="204"/>
      </rPr>
      <t>Газпрома</t>
    </r>
    <r>
      <rPr>
        <sz val="8"/>
        <rFont val="Times New Roman"/>
        <family val="1"/>
        <charset val="204"/>
      </rPr>
      <t xml:space="preserve"> в Индии (блок № 26)</t>
    </r>
  </si>
  <si>
    <r>
      <t xml:space="preserve">Области поиска и разведки углеводородов </t>
    </r>
    <r>
      <rPr>
        <i/>
        <sz val="8"/>
        <rFont val="Times New Roman"/>
        <family val="1"/>
        <charset val="204"/>
      </rPr>
      <t>Газпрома</t>
    </r>
    <r>
      <rPr>
        <sz val="8"/>
        <rFont val="Times New Roman"/>
        <family val="1"/>
        <charset val="204"/>
      </rPr>
      <t xml:space="preserve"> в Каспийском море (месторождение Центральное)</t>
    </r>
  </si>
  <si>
    <t>С российской стороны участником проекта является 
ООО «ЦентрКаспнефтегаз» (создано на паритетных условиях  ОАО «Лукойл» и ОАО «Газпром»), с казахстанской стороны – АО «Национальная компания «КазМунайГаз».</t>
  </si>
  <si>
    <r>
      <t xml:space="preserve">Соглашение о разделе продукции. Доля участия </t>
    </r>
    <r>
      <rPr>
        <i/>
        <sz val="8"/>
        <rFont val="Times New Roman"/>
        <family val="1"/>
        <charset val="204"/>
      </rPr>
      <t>Группы Газпром −</t>
    </r>
    <r>
      <rPr>
        <sz val="8"/>
        <rFont val="Times New Roman"/>
        <family val="1"/>
        <charset val="204"/>
      </rPr>
      <t>100%.</t>
    </r>
  </si>
  <si>
    <t xml:space="preserve">■ на этапе ГРР − 100%; </t>
  </si>
  <si>
    <t>■ на этапе добычи − 10% .</t>
  </si>
  <si>
    <t>■ на этапе ГРР  − 100%;</t>
  </si>
  <si>
    <t xml:space="preserve">■ на этапе добычи − 9,8%. </t>
  </si>
  <si>
    <t xml:space="preserve">Сформирован российско-таджикистанский управляющий комитет по надзору за исполнением Соглашения.
</t>
  </si>
  <si>
    <r>
      <t xml:space="preserve">ООО «ЦентрКаспнефтегаз» и АО «НК «КазМунайГаз» участвуют в проекте на паритетных началах.
Доля участия </t>
    </r>
    <r>
      <rPr>
        <i/>
        <sz val="8"/>
        <rFont val="Times New Roman"/>
        <family val="1"/>
        <charset val="204"/>
      </rPr>
      <t>Группы Газпром</t>
    </r>
    <r>
      <rPr>
        <sz val="8"/>
        <rFont val="Times New Roman"/>
        <family val="1"/>
        <charset val="204"/>
      </rPr>
      <t xml:space="preserve">: 
■ на этапе ГРР – 50 % 
</t>
    </r>
  </si>
  <si>
    <r>
      <t xml:space="preserve">Меморандум о взаимопонимании с государственной нефтегазовой компанией Венесуэлы PdVSA.
Доля участия </t>
    </r>
    <r>
      <rPr>
        <i/>
        <sz val="8"/>
        <rFont val="Times New Roman"/>
        <family val="1"/>
        <charset val="204"/>
      </rPr>
      <t>Группы Газпром</t>
    </r>
    <r>
      <rPr>
        <sz val="8"/>
        <rFont val="Times New Roman"/>
        <family val="1"/>
        <charset val="204"/>
      </rPr>
      <t xml:space="preserve"> в проекте:
■ на этапе ГРР – 30 %;
■ на этапе добычи – 15 %.
</t>
    </r>
  </si>
  <si>
    <r>
      <t xml:space="preserve">Соглашение о разделе продукции было заключено между НХК «Узбекнефтегаз» с одной стороны и Консорциумом из Gas Project Development Central Asia AG (50 % долевого участия </t>
    </r>
    <r>
      <rPr>
        <i/>
        <sz val="8"/>
        <rFont val="Times New Roman"/>
        <family val="1"/>
        <charset val="204"/>
      </rPr>
      <t>Группы</t>
    </r>
    <r>
      <rPr>
        <sz val="8"/>
        <rFont val="Times New Roman"/>
        <family val="1"/>
        <charset val="204"/>
      </rPr>
      <t xml:space="preserve">) и 
ЗАО «Газпром зарубежнефтегаз» – с другой. 
Оператор проекта – 
ООО «Зарубежнефтегаз – ГПД Центральная Азия», созданное Gas Project Development Central Asia AG и 
ЗАО «Газпром зарубежнефтегаз» на паритетной основе.
</t>
    </r>
  </si>
  <si>
    <t>По состоянию на 31 декабря 2010 г. введено в эксплуатацию 410,2 км линейной части и три КС мощностью 
272 МВт.</t>
  </si>
  <si>
    <t xml:space="preserve">Мурманск − Волхов </t>
  </si>
  <si>
    <t>По состоянию на 31 декабря 2010 г. построен морской участок газопровода и введен в эксплуатацию первый пусковой комплекс протяженностью 13,35 км.</t>
  </si>
  <si>
    <t>Транспортировка газа с месторождений на западном побережье Камчатского полуострова до 
г. Петропавловск-Камчатский</t>
  </si>
  <si>
    <t>По состоянию на 31 декабря 2010 г. сварено в нитку около 1 140 км газопровода. Строительство предполагается завершить 
в III кв. 2011 г.</t>
  </si>
  <si>
    <t xml:space="preserve">Для проектирования, строительства, эксплуатации и управления газопроводом «Северный поток» создана компания Nord Stream AG.  Доли в компании по состоянию на 31 декабря 2010 г. распределены следующим образом: 
ОАО «Газпром» – 51 %, Wintershall Oil AG  (Группа BASF) – 15,5 %,  PEG Infrastruktur AG (Группа E.ON) – 15,5 %, Gasunie Infrastruktur AG 
(Группа Gasunie) – 9 % и  GDF SUEZ Holding Switzerland AG (Группа GDF SUEZ) – 9 %.
Строительство газопровода «Северный поток» начато в  апреле 2010 г.
5 мая 2011 г. была завершена укладка первой нитки газопровода. Ввод в эксплуатацию первой нитки запланирован на 2011 г., второй – на 2012 г.
</t>
  </si>
  <si>
    <r>
      <t xml:space="preserve">Область поисково-разведочного бурения и сейсморазведочных работ </t>
    </r>
    <r>
      <rPr>
        <i/>
        <sz val="8"/>
        <rFont val="Times New Roman"/>
        <family val="1"/>
        <charset val="204"/>
      </rPr>
      <t>Газпрома</t>
    </r>
    <r>
      <rPr>
        <sz val="8"/>
        <rFont val="Times New Roman"/>
        <family val="1"/>
        <charset val="204"/>
      </rPr>
      <t xml:space="preserve"> во Вьетнаме (блок № 112 с учетом расширения) и расположение блоков № 129–132</t>
    </r>
  </si>
  <si>
    <t>Выполнен сбор исходных данных и их согласование. Ведутся инженерные изыскания. Осуществляется разработка проектной документации.</t>
  </si>
  <si>
    <t>Система газопроводов для транспортировки газа с месторождений полуострова Ямал в центральные районы России</t>
  </si>
  <si>
    <t>9 КС / 1 096  МВт</t>
  </si>
  <si>
    <r>
      <t>60 млрд м</t>
    </r>
    <r>
      <rPr>
        <vertAlign val="superscript"/>
        <sz val="8"/>
        <rFont val="Times New Roman"/>
        <family val="1"/>
        <charset val="204"/>
      </rPr>
      <t>3</t>
    </r>
  </si>
  <si>
    <t>*Определен как отношение газифицированных квартир к общему количеству квартир в регионе, выраженное в процентах.</t>
  </si>
  <si>
    <t xml:space="preserve">Структура магистральных газопроводов Единой системы газоснабжения России по сроку службы, 2010 г. </t>
  </si>
  <si>
    <t>Годовая производительность</t>
  </si>
  <si>
    <r>
      <t xml:space="preserve">** Данные за 2006-2008 гг. приведены без учета объемов добычи газа </t>
    </r>
    <r>
      <rPr>
        <i/>
        <sz val="8"/>
        <rFont val="Times New Roman"/>
        <family val="1"/>
        <charset val="204"/>
      </rPr>
      <t>Группой Газпром нефть</t>
    </r>
    <r>
      <rPr>
        <sz val="7"/>
        <rFont val="Times New Roman"/>
        <family val="1"/>
        <charset val="204"/>
      </rPr>
      <t>.</t>
    </r>
  </si>
  <si>
    <t>реализация покупных объемов</t>
  </si>
  <si>
    <t>* Начиная с 2008 г. данные по выручке от продажи электрической и тепловой энерегии представлены без учета торговых операций без фактической поставки по Группе Газпром Германия.</t>
  </si>
  <si>
    <t>Выручка от продажи электрической и тепловой энергии (за вычетом НДС)*</t>
  </si>
  <si>
    <t>Выручка от продажи услуг по транспортировке газа (за вычетом НДС)</t>
  </si>
  <si>
    <t>более 50 лет</t>
  </si>
  <si>
    <t xml:space="preserve">бензин автомобильный и технологический, дизтопливо, авиакеросин, мазут, масла, ароматические углеводороды, газы углеводородные сжиженные, нефтяные битумы, сера </t>
  </si>
  <si>
    <t>Московский НПЗ</t>
  </si>
  <si>
    <t>ОАО «Московский НПЗ»</t>
  </si>
  <si>
    <t>Москва</t>
  </si>
  <si>
    <t>1938 г.</t>
  </si>
  <si>
    <t>бензин автомобильный и технологический, дизельное топливо, авиакеросин, мазут, нефтяные битумы, газы углеводородные сжиженные, сера</t>
  </si>
  <si>
    <t>Завод по смешению масел и смазок в г. Бари</t>
  </si>
  <si>
    <t>Gazpromneft Lubricants Italia S.p.A.</t>
  </si>
  <si>
    <t>Бари (Италия)</t>
  </si>
  <si>
    <t>масла индустриальные, масла автомобильные, смазки</t>
  </si>
  <si>
    <t>NIS</t>
  </si>
  <si>
    <t>Панчево (Сербия)</t>
  </si>
  <si>
    <t>1968 г.</t>
  </si>
  <si>
    <t>Выручка от реализации нефти и газового конденсата (за вычетом НДС, акциза и таможенных пошлин), млн руб.</t>
  </si>
  <si>
    <t>Реализация продуктов переработки Группой Газпром</t>
  </si>
  <si>
    <t>Объемы реализации продуктов нефтегазопереработки, млн т</t>
  </si>
  <si>
    <t>Выручка от реализации продуктов нефтегазопереработки (за вычетом НДС, акциза и таможенных пошлин), млн руб.</t>
  </si>
  <si>
    <t>Увеличение запаса газа в газотранспортной системе</t>
  </si>
  <si>
    <t>Действующие и перспективные объекты подземного хранения газа Газпрома на территории России</t>
  </si>
  <si>
    <t>Сезон закачки</t>
  </si>
  <si>
    <r>
      <t>Закачка газа в ПХГ, млн м</t>
    </r>
    <r>
      <rPr>
        <vertAlign val="superscript"/>
        <sz val="8"/>
        <rFont val="Times New Roman"/>
        <family val="1"/>
        <charset val="204"/>
      </rPr>
      <t>3</t>
    </r>
  </si>
  <si>
    <t xml:space="preserve">III кв. </t>
  </si>
  <si>
    <t>Всего за сезон</t>
  </si>
  <si>
    <t>Сезон отбора</t>
  </si>
  <si>
    <t>2005-2006</t>
  </si>
  <si>
    <r>
      <t>Отбор газа из ПХГ, млн м</t>
    </r>
    <r>
      <rPr>
        <vertAlign val="superscript"/>
        <sz val="8"/>
        <rFont val="Times New Roman"/>
        <family val="1"/>
        <charset val="204"/>
      </rPr>
      <t>3</t>
    </r>
  </si>
  <si>
    <t>I кв. следующего года</t>
  </si>
  <si>
    <t>II кв. следующего года</t>
  </si>
  <si>
    <r>
      <t>Максимальная потенциальная суточная производительность в сезон отбора, млн м</t>
    </r>
    <r>
      <rPr>
        <vertAlign val="superscript"/>
        <sz val="8"/>
        <rFont val="Times New Roman"/>
        <family val="1"/>
        <charset val="204"/>
      </rPr>
      <t>3</t>
    </r>
    <r>
      <rPr>
        <sz val="8"/>
        <rFont val="Times New Roman"/>
        <family val="1"/>
        <charset val="204"/>
      </rPr>
      <t>/сут</t>
    </r>
  </si>
  <si>
    <r>
      <t>Средняя суточная производительность в декабре-феврале сезона отбора, млн м</t>
    </r>
    <r>
      <rPr>
        <vertAlign val="superscript"/>
        <sz val="8"/>
        <rFont val="Times New Roman"/>
        <family val="1"/>
        <charset val="204"/>
      </rPr>
      <t>3</t>
    </r>
    <r>
      <rPr>
        <sz val="8"/>
        <rFont val="Times New Roman"/>
        <family val="1"/>
        <charset val="204"/>
      </rPr>
      <t>/сут</t>
    </r>
  </si>
  <si>
    <t xml:space="preserve">Закачка и отбор газа Газпрома из ПХГ зарубежных стран </t>
  </si>
  <si>
    <r>
      <t>Закачка газа в ПХГ за рубежом, млн м</t>
    </r>
    <r>
      <rPr>
        <vertAlign val="superscript"/>
        <sz val="8"/>
        <rFont val="Times New Roman"/>
        <family val="1"/>
        <charset val="204"/>
      </rPr>
      <t>3</t>
    </r>
  </si>
  <si>
    <t>Армения</t>
  </si>
  <si>
    <t>Дальнее зарубежье</t>
  </si>
  <si>
    <t>Франция</t>
  </si>
  <si>
    <t>Нидерланды</t>
  </si>
  <si>
    <t>За год, закончившийся  31 декабря</t>
  </si>
  <si>
    <r>
      <t>Переработка природного и попутного газа, млрд м</t>
    </r>
    <r>
      <rPr>
        <b/>
        <vertAlign val="superscript"/>
        <sz val="8"/>
        <color indexed="9"/>
        <rFont val="Times New Roman"/>
        <family val="1"/>
        <charset val="204"/>
      </rPr>
      <t>3</t>
    </r>
  </si>
  <si>
    <t xml:space="preserve">Всего </t>
  </si>
  <si>
    <t>в России</t>
  </si>
  <si>
    <t>Стабильный газовый конденсат и нефть, тыс. т</t>
  </si>
  <si>
    <r>
      <t>Сухой газ, млрд м</t>
    </r>
    <r>
      <rPr>
        <vertAlign val="superscript"/>
        <sz val="8"/>
        <rFont val="Times New Roman"/>
        <family val="1"/>
        <charset val="204"/>
      </rPr>
      <t>3</t>
    </r>
  </si>
  <si>
    <t>Сжиженные углеводородные газы, тыс. т</t>
  </si>
  <si>
    <t>Автомобильный бензин, тыс. т</t>
  </si>
  <si>
    <t>Технологический бензин, тыс. т</t>
  </si>
  <si>
    <t>Дизельное топливо, тыс. т</t>
  </si>
  <si>
    <t>Авиационное топливо, тыс. т</t>
  </si>
  <si>
    <t>Мазут топочный, тыс. т</t>
  </si>
  <si>
    <t>Масла, тыс. т</t>
  </si>
  <si>
    <t>Классификация запасов</t>
  </si>
  <si>
    <t>Продукция переработки основных дочерних обществ Группы Газпром</t>
  </si>
  <si>
    <t>Рынок газа в России</t>
  </si>
  <si>
    <t>* Показатели не являются частью финансовой отчетности и рассчитаны по обменному курсу на конец соответствующего периода.</t>
  </si>
  <si>
    <r>
      <t xml:space="preserve">Транспортировка природного газа по газораспределительным системам, обслуживаемых дочерними и зависимыми ГРО </t>
    </r>
    <r>
      <rPr>
        <i/>
        <sz val="8"/>
        <rFont val="Times New Roman"/>
        <family val="1"/>
        <charset val="204"/>
      </rPr>
      <t>Газпрома</t>
    </r>
    <r>
      <rPr>
        <sz val="8"/>
        <rFont val="Times New Roman"/>
        <family val="1"/>
        <charset val="204"/>
      </rPr>
      <t>, млрд м</t>
    </r>
    <r>
      <rPr>
        <vertAlign val="superscript"/>
        <sz val="8"/>
        <rFont val="Times New Roman"/>
        <family val="1"/>
        <charset val="204"/>
      </rPr>
      <t>3</t>
    </r>
  </si>
  <si>
    <r>
      <t xml:space="preserve">Потребители, обслуживаемые  дочерними и зависимыми газораспределительными организациями </t>
    </r>
    <r>
      <rPr>
        <i/>
        <sz val="8"/>
        <rFont val="Times New Roman"/>
        <family val="1"/>
        <charset val="204"/>
      </rPr>
      <t>Газпрома</t>
    </r>
    <r>
      <rPr>
        <sz val="8"/>
        <rFont val="Times New Roman"/>
        <family val="1"/>
        <charset val="204"/>
      </rPr>
      <t>:</t>
    </r>
  </si>
  <si>
    <r>
      <t xml:space="preserve">Объем финансирования </t>
    </r>
    <r>
      <rPr>
        <i/>
        <sz val="8"/>
        <rFont val="Times New Roman"/>
        <family val="1"/>
        <charset val="204"/>
      </rPr>
      <t>Группы Газпром</t>
    </r>
    <r>
      <rPr>
        <sz val="8"/>
        <rFont val="Times New Roman"/>
        <family val="1"/>
        <charset val="204"/>
      </rPr>
      <t xml:space="preserve"> по программам газификации, млрд руб.</t>
    </r>
  </si>
  <si>
    <r>
      <t xml:space="preserve">Уровень газификации природным и сжиженным газом* в зоне деятельности организаций </t>
    </r>
    <r>
      <rPr>
        <i/>
        <sz val="8"/>
        <rFont val="Times New Roman"/>
        <family val="1"/>
        <charset val="204"/>
      </rPr>
      <t>Группы Газпром</t>
    </r>
    <r>
      <rPr>
        <sz val="8"/>
        <rFont val="Times New Roman"/>
        <family val="1"/>
        <charset val="204"/>
      </rPr>
      <t xml:space="preserve"> всего, в т.ч.</t>
    </r>
  </si>
  <si>
    <r>
      <t xml:space="preserve">Оказание услуг по транспортировке газа компаниям, не входящим в </t>
    </r>
    <r>
      <rPr>
        <i/>
        <sz val="8"/>
        <rFont val="Times New Roman"/>
        <family val="1"/>
        <charset val="204"/>
      </rPr>
      <t>Группу Газпром</t>
    </r>
    <r>
      <rPr>
        <sz val="8"/>
        <rFont val="Times New Roman"/>
        <family val="1"/>
        <charset val="204"/>
      </rPr>
      <t>, млрд м</t>
    </r>
    <r>
      <rPr>
        <vertAlign val="superscript"/>
        <sz val="8"/>
        <rFont val="Times New Roman"/>
        <family val="1"/>
        <charset val="204"/>
      </rPr>
      <t>3</t>
    </r>
  </si>
  <si>
    <t>Поиск, разведка и добыча углеводородов в Устюртском регионе Республики Узбекистан (Шахпахтинский, Агыинский и Актумсукский инвестиционные блоки).</t>
  </si>
  <si>
    <r>
      <t xml:space="preserve">Доля участия </t>
    </r>
    <r>
      <rPr>
        <i/>
        <sz val="8"/>
        <rFont val="Times New Roman"/>
        <family val="1"/>
        <charset val="204"/>
      </rPr>
      <t>Группы Газпром</t>
    </r>
    <r>
      <rPr>
        <sz val="8"/>
        <rFont val="Times New Roman"/>
        <family val="1"/>
        <charset val="204"/>
      </rPr>
      <t>− 49 %.</t>
    </r>
  </si>
  <si>
    <t>Блок № 112 −  2000 г.</t>
  </si>
  <si>
    <t>Блоки 
№ 129−132 − 2008 г.</t>
  </si>
  <si>
    <t xml:space="preserve">Участки 3−5 планируются к вводу в период 2015–2017 гг. </t>
  </si>
  <si>
    <t>Расположено в Красноселькупском районе Ямало-Ненецкого автономного округа Тюменской области, лицензией на его разработку владеет ОАО «Севернефтегазпром». По состоянию на 31 декабря 2010 г. ОАО «Газпром» принадлежит 50 % плюс шесть обыкновенных именных акций компании, Wintershall Holding GmbH − 25 %  минус три обыкновенные именные акции и плюс три привилегированные акции без права голоса; E.ON Ruhrgas E&amp;P GmbH − 25 %  минус три обыкновенные именные акции и плюс три привилегированные акции без права голоса.</t>
  </si>
  <si>
    <t>Транспортировка газа месторождений Северных районов Тюменской области в район г. Торжок; увеличение объема поставки газа потребителям Северо-Западного региона России, а также на экспорт по газопроводу «Ямал − Европа».</t>
  </si>
  <si>
    <t>Бованенково − Ухта (первая нитка)</t>
  </si>
  <si>
    <t>Ухта − Торжок (первая нитка)</t>
  </si>
  <si>
    <t>Сахалин −  Хабаровск − Владивосток (первый пусковой комплекс)</t>
  </si>
  <si>
    <t>Соболево −  Петропавловск-Камчатский</t>
  </si>
  <si>
    <t>Ввод трех КС будет синхронизирован с вводом в эксплуатацию газопровода Бованенково − Ухта в 2012 г.</t>
  </si>
  <si>
    <t>Починки − Грязовец</t>
  </si>
  <si>
    <t xml:space="preserve">«Газпром в цифрах 2006−2010 гг.» </t>
  </si>
  <si>
    <r>
      <t xml:space="preserve">Приведенные в издании показатели деятельности </t>
    </r>
    <r>
      <rPr>
        <i/>
        <sz val="10"/>
        <rFont val="Times New Roman"/>
        <family val="1"/>
        <charset val="204"/>
      </rPr>
      <t>Газпрома</t>
    </r>
    <r>
      <rPr>
        <sz val="10"/>
        <rFont val="Times New Roman"/>
        <family val="1"/>
        <charset val="204"/>
      </rPr>
      <t xml:space="preserve"> в целом сформированы на основании принципов составления сводной бухгалтерской отчетности </t>
    </r>
    <r>
      <rPr>
        <i/>
        <sz val="10"/>
        <rFont val="Times New Roman"/>
        <family val="1"/>
        <charset val="204"/>
      </rPr>
      <t>Группы Газпром</t>
    </r>
    <r>
      <rPr>
        <sz val="10"/>
        <rFont val="Times New Roman"/>
        <family val="1"/>
        <charset val="204"/>
      </rPr>
      <t>. При этом ряд показателей деятельности ОАО «Газпром», его дочерних обществ приводятся на основе управленческой отчетности. В связи с различиями в методологии подготовки сводной и ведения управленческой отчетности показатели, рассчитанные по данным методикам, могут быть несопоставимы.</t>
    </r>
  </si>
  <si>
    <r>
      <t xml:space="preserve">Приведенные данные в тоннах условного топлива и баррелях нефтяного эквивалента получены расчетным путем по указанным коэффициентам пересчета. </t>
    </r>
    <r>
      <rPr>
        <i/>
        <sz val="10"/>
        <rFont val="Times New Roman"/>
        <family val="1"/>
        <charset val="204"/>
      </rPr>
      <t xml:space="preserve">Группа </t>
    </r>
    <r>
      <rPr>
        <sz val="10"/>
        <rFont val="Times New Roman"/>
        <family val="1"/>
        <charset val="204"/>
      </rPr>
      <t>осуществляет управленческий учет в метрических единицах измерения.</t>
    </r>
  </si>
  <si>
    <r>
      <t xml:space="preserve">Финансовые показатели </t>
    </r>
    <r>
      <rPr>
        <i/>
        <sz val="10"/>
        <rFont val="Times New Roman"/>
        <family val="1"/>
        <charset val="204"/>
      </rPr>
      <t>Группы</t>
    </r>
    <r>
      <rPr>
        <sz val="10"/>
        <rFont val="Times New Roman"/>
        <family val="1"/>
        <charset val="204"/>
      </rPr>
      <t xml:space="preserve"> приводятся в соответствии со сводной бухгалтерской отчетностью </t>
    </r>
    <r>
      <rPr>
        <i/>
        <sz val="10"/>
        <rFont val="Times New Roman"/>
        <family val="1"/>
        <charset val="204"/>
      </rPr>
      <t>Группы Газпром</t>
    </r>
    <r>
      <rPr>
        <sz val="10"/>
        <rFont val="Times New Roman"/>
        <family val="1"/>
        <charset val="204"/>
      </rPr>
      <t xml:space="preserve">, подготовленной согласно требованиям российского законодательства. Валютой сводной бухгалтерской отчетности </t>
    </r>
    <r>
      <rPr>
        <i/>
        <sz val="10"/>
        <rFont val="Times New Roman"/>
        <family val="1"/>
        <charset val="204"/>
      </rPr>
      <t>Группы Газпром</t>
    </r>
    <r>
      <rPr>
        <sz val="10"/>
        <rFont val="Times New Roman"/>
        <family val="1"/>
        <charset val="204"/>
      </rPr>
      <t xml:space="preserve"> является российский рубль. Приведенные данные в долларах США и евро получены расчетным путем по указанным обменным курсам и не являются данными финансовой отчетности </t>
    </r>
    <r>
      <rPr>
        <i/>
        <sz val="10"/>
        <rFont val="Times New Roman"/>
        <family val="1"/>
        <charset val="204"/>
      </rPr>
      <t>Группы</t>
    </r>
    <r>
      <rPr>
        <sz val="10"/>
        <rFont val="Times New Roman"/>
        <family val="1"/>
        <charset val="204"/>
      </rPr>
      <t>.</t>
    </r>
  </si>
  <si>
    <r>
      <t xml:space="preserve">В настоящем справочнике наименование ОАО «Газпром» относится к головной компании </t>
    </r>
    <r>
      <rPr>
        <i/>
        <sz val="10"/>
        <rFont val="Times New Roman"/>
        <family val="1"/>
        <charset val="204"/>
      </rPr>
      <t xml:space="preserve">Группы </t>
    </r>
    <r>
      <rPr>
        <sz val="10"/>
        <rFont val="Times New Roman"/>
        <family val="1"/>
        <charset val="204"/>
      </rPr>
      <t xml:space="preserve">– Открытому акционерному обществу «Газпром». Под </t>
    </r>
    <r>
      <rPr>
        <i/>
        <sz val="10"/>
        <rFont val="Times New Roman"/>
        <family val="1"/>
        <charset val="204"/>
      </rPr>
      <t>Группой Газпром</t>
    </r>
    <r>
      <rPr>
        <sz val="10"/>
        <rFont val="Times New Roman"/>
        <family val="1"/>
        <charset val="204"/>
      </rPr>
      <t xml:space="preserve">, </t>
    </r>
    <r>
      <rPr>
        <i/>
        <sz val="10"/>
        <rFont val="Times New Roman"/>
        <family val="1"/>
        <charset val="204"/>
      </rPr>
      <t>Группой</t>
    </r>
    <r>
      <rPr>
        <sz val="10"/>
        <rFont val="Times New Roman"/>
        <family val="1"/>
        <charset val="204"/>
      </rPr>
      <t xml:space="preserve"> или </t>
    </r>
    <r>
      <rPr>
        <i/>
        <sz val="10"/>
        <rFont val="Times New Roman"/>
        <family val="1"/>
        <charset val="204"/>
      </rPr>
      <t>Газпромом</t>
    </r>
    <r>
      <rPr>
        <sz val="10"/>
        <rFont val="Times New Roman"/>
        <family val="1"/>
        <charset val="204"/>
      </rPr>
      <t xml:space="preserve"> следует понимать совокупность компаний, состоящую из ОАО «Газпром» и его дочерних обществ. Аналогичным образом под терминами </t>
    </r>
    <r>
      <rPr>
        <i/>
        <sz val="10"/>
        <rFont val="Times New Roman"/>
        <family val="1"/>
        <charset val="204"/>
      </rPr>
      <t>Группа Газпром нефть</t>
    </r>
    <r>
      <rPr>
        <sz val="10"/>
        <rFont val="Times New Roman"/>
        <family val="1"/>
        <charset val="204"/>
      </rPr>
      <t xml:space="preserve"> и </t>
    </r>
    <r>
      <rPr>
        <i/>
        <sz val="10"/>
        <rFont val="Times New Roman"/>
        <family val="1"/>
        <charset val="204"/>
      </rPr>
      <t>Газпром нефть</t>
    </r>
    <r>
      <rPr>
        <sz val="10"/>
        <rFont val="Times New Roman"/>
        <family val="1"/>
        <charset val="204"/>
      </rPr>
      <t xml:space="preserve"> подразумеваются ОАО «Газпром нефть» и его дочерние общества, под термином </t>
    </r>
    <r>
      <rPr>
        <i/>
        <sz val="10"/>
        <rFont val="Times New Roman"/>
        <family val="1"/>
        <charset val="204"/>
      </rPr>
      <t>Сибур Холдинг</t>
    </r>
    <r>
      <rPr>
        <sz val="10"/>
        <rFont val="Times New Roman"/>
        <family val="1"/>
        <charset val="204"/>
      </rPr>
      <t xml:space="preserve"> – ОАО «Сибур Холдинг» и его дочерние общества.</t>
    </r>
  </si>
  <si>
    <r>
      <t xml:space="preserve">*** Включает полученные лицензии на разработку запасов, разведанных </t>
    </r>
    <r>
      <rPr>
        <i/>
        <sz val="8"/>
        <rFont val="Times New Roman"/>
        <family val="1"/>
        <charset val="204"/>
      </rPr>
      <t>Группой</t>
    </r>
    <r>
      <rPr>
        <sz val="8"/>
        <rFont val="Times New Roman"/>
        <family val="1"/>
        <charset val="204"/>
      </rPr>
      <t xml:space="preserve"> в предыдущие годы.</t>
    </r>
  </si>
  <si>
    <r>
      <t>* Изменение запасов конденсата за счет добычи отражается в пересчете на стабильный газовый конденсат (С</t>
    </r>
    <r>
      <rPr>
        <vertAlign val="subscript"/>
        <sz val="8"/>
        <rFont val="Times New Roman"/>
        <family val="1"/>
        <charset val="204"/>
      </rPr>
      <t>5+</t>
    </r>
    <r>
      <rPr>
        <sz val="8"/>
        <rFont val="Times New Roman"/>
        <family val="1"/>
        <charset val="204"/>
      </rPr>
      <t xml:space="preserve">). Объем добычи нестабильного газового конденсата </t>
    </r>
    <r>
      <rPr>
        <i/>
        <sz val="8"/>
        <rFont val="Times New Roman"/>
        <family val="1"/>
        <charset val="204"/>
      </rPr>
      <t>Группой Газпром</t>
    </r>
    <r>
      <rPr>
        <sz val="8"/>
        <rFont val="Times New Roman"/>
        <family val="1"/>
        <charset val="204"/>
      </rPr>
      <t xml:space="preserve"> приведен в разделе Добыча. </t>
    </r>
  </si>
  <si>
    <r>
      <t xml:space="preserve">***** Входит в </t>
    </r>
    <r>
      <rPr>
        <i/>
        <sz val="8"/>
        <rFont val="Times New Roman"/>
        <family val="1"/>
        <charset val="204"/>
      </rPr>
      <t>Группу Газпром нефть</t>
    </r>
    <r>
      <rPr>
        <sz val="8"/>
        <rFont val="Times New Roman"/>
        <family val="1"/>
        <charset val="204"/>
      </rPr>
      <t>.</t>
    </r>
  </si>
  <si>
    <r>
      <t xml:space="preserve">Всего добыча </t>
    </r>
    <r>
      <rPr>
        <b/>
        <i/>
        <sz val="8"/>
        <rFont val="Times New Roman"/>
        <family val="1"/>
        <charset val="204"/>
      </rPr>
      <t>Группы Газпром</t>
    </r>
  </si>
  <si>
    <t>2017−2018 гг.</t>
  </si>
  <si>
    <t>Первый этап −  2018 г.</t>
  </si>
  <si>
    <t>2015−2017 гг.</t>
  </si>
  <si>
    <t>2013−2014 гг.</t>
  </si>
  <si>
    <t>2016−2019 гг.</t>
  </si>
  <si>
    <r>
      <t xml:space="preserve">Располагается вблизи основных разрабатываемых месторождений </t>
    </r>
    <r>
      <rPr>
        <i/>
        <sz val="8"/>
        <rFont val="Times New Roman"/>
        <family val="1"/>
        <charset val="204"/>
      </rPr>
      <t>Газпрома.</t>
    </r>
    <r>
      <rPr>
        <sz val="8"/>
        <rFont val="Times New Roman"/>
        <family val="1"/>
        <charset val="204"/>
      </rPr>
      <t xml:space="preserve"> Сеноманские залежи месторождения были введены в эксплуатацию в 2001 г. В 2007 г. их проектная производительность была пересмотрена со 100 млрд м</t>
    </r>
    <r>
      <rPr>
        <vertAlign val="superscript"/>
        <sz val="8"/>
        <rFont val="Times New Roman"/>
        <family val="1"/>
        <charset val="204"/>
      </rPr>
      <t>3</t>
    </r>
    <r>
      <rPr>
        <sz val="8"/>
        <rFont val="Times New Roman"/>
        <family val="1"/>
        <charset val="204"/>
      </rPr>
      <t xml:space="preserve"> до 115 млрд м</t>
    </r>
    <r>
      <rPr>
        <vertAlign val="superscript"/>
        <sz val="8"/>
        <rFont val="Times New Roman"/>
        <family val="1"/>
        <charset val="204"/>
      </rPr>
      <t>3</t>
    </r>
    <r>
      <rPr>
        <sz val="8"/>
        <rFont val="Times New Roman"/>
        <family val="1"/>
        <charset val="204"/>
      </rPr>
      <t xml:space="preserve"> в год. Проектом обустройства предусмотрено строительство двух установок комплексной подготовки газа (УКПГ) суммарной производительностью 15 млрд м</t>
    </r>
    <r>
      <rPr>
        <vertAlign val="superscript"/>
        <sz val="8"/>
        <rFont val="Times New Roman"/>
        <family val="1"/>
        <charset val="204"/>
      </rPr>
      <t>3</t>
    </r>
    <r>
      <rPr>
        <sz val="8"/>
        <rFont val="Times New Roman"/>
        <family val="1"/>
        <charset val="204"/>
      </rPr>
      <t xml:space="preserve"> в год. В 2010 г. закончено строительство первой УКПГ, ввод второй УКПГ запланирован на  2012−2013 гг.</t>
    </r>
  </si>
  <si>
    <t>1994 г. – начало опытно- промышленной эксплуатации</t>
  </si>
  <si>
    <t>Сезон закачки I−IV кв.</t>
  </si>
  <si>
    <t>Сезон отбора III−IV кв., а также I−II кв. следующего года</t>
  </si>
  <si>
    <t>2006−2007</t>
  </si>
  <si>
    <t>2007−2008</t>
  </si>
  <si>
    <t>2008−2009</t>
  </si>
  <si>
    <t>2009−2010</t>
  </si>
  <si>
    <t>2010−2011</t>
  </si>
  <si>
    <r>
      <t xml:space="preserve">** Показатели </t>
    </r>
    <r>
      <rPr>
        <i/>
        <sz val="8"/>
        <rFont val="Times New Roman"/>
        <family val="1"/>
        <charset val="204"/>
      </rPr>
      <t>Сибур Холдинга</t>
    </r>
    <r>
      <rPr>
        <sz val="8"/>
        <rFont val="Times New Roman"/>
        <family val="1"/>
        <charset val="204"/>
      </rPr>
      <t xml:space="preserve"> учтены до момента деконсолидации с III кв. 2008 г.</t>
    </r>
  </si>
  <si>
    <r>
      <t xml:space="preserve">Сибур Холдинг </t>
    </r>
    <r>
      <rPr>
        <sz val="8"/>
        <rFont val="Times New Roman"/>
        <family val="1"/>
        <charset val="204"/>
      </rPr>
      <t>**</t>
    </r>
  </si>
  <si>
    <r>
      <t>Газпром нефть</t>
    </r>
    <r>
      <rPr>
        <sz val="8"/>
        <rFont val="Times New Roman"/>
        <family val="1"/>
        <charset val="204"/>
      </rPr>
      <t xml:space="preserve"> всего, в т. ч.: </t>
    </r>
  </si>
  <si>
    <t>1976 г.</t>
  </si>
  <si>
    <t>1958−1961 гг.</t>
  </si>
  <si>
    <r>
      <t>■</t>
    </r>
    <r>
      <rPr>
        <sz val="8"/>
        <rFont val="Times New Roman"/>
        <family val="1"/>
        <charset val="204"/>
      </rPr>
      <t>7,3 млн т конденсата и нефти</t>
    </r>
  </si>
  <si>
    <r>
      <t>■</t>
    </r>
    <r>
      <rPr>
        <sz val="8"/>
        <rFont val="Times New Roman"/>
        <family val="1"/>
        <charset val="204"/>
      </rPr>
      <t>12,0 млрд м</t>
    </r>
    <r>
      <rPr>
        <vertAlign val="superscript"/>
        <sz val="8"/>
        <rFont val="Times New Roman"/>
        <family val="1"/>
        <charset val="204"/>
      </rPr>
      <t>3</t>
    </r>
    <r>
      <rPr>
        <sz val="8"/>
        <rFont val="Times New Roman"/>
        <family val="1"/>
        <charset val="204"/>
      </rPr>
      <t xml:space="preserve"> природного газа </t>
    </r>
  </si>
  <si>
    <r>
      <t>■</t>
    </r>
    <r>
      <rPr>
        <sz val="8"/>
        <rFont val="Times New Roman"/>
        <family val="1"/>
        <charset val="204"/>
      </rPr>
      <t>37,5 млрд м</t>
    </r>
    <r>
      <rPr>
        <vertAlign val="superscript"/>
        <sz val="8"/>
        <rFont val="Times New Roman"/>
        <family val="1"/>
        <charset val="204"/>
      </rPr>
      <t>3</t>
    </r>
    <r>
      <rPr>
        <sz val="8"/>
        <rFont val="Times New Roman"/>
        <family val="1"/>
        <charset val="204"/>
      </rPr>
      <t xml:space="preserve"> природного газа</t>
    </r>
  </si>
  <si>
    <r>
      <t>■</t>
    </r>
    <r>
      <rPr>
        <sz val="8"/>
        <rFont val="Times New Roman"/>
        <family val="1"/>
        <charset val="204"/>
      </rPr>
      <t>6,2 млн т конденсата и нефти</t>
    </r>
  </si>
  <si>
    <r>
      <t>■</t>
    </r>
    <r>
      <rPr>
        <sz val="8"/>
        <rFont val="Times New Roman"/>
        <family val="1"/>
        <charset val="204"/>
      </rPr>
      <t>15,0 млрд м</t>
    </r>
    <r>
      <rPr>
        <vertAlign val="superscript"/>
        <sz val="8"/>
        <rFont val="Times New Roman"/>
        <family val="1"/>
        <charset val="204"/>
      </rPr>
      <t>3</t>
    </r>
    <r>
      <rPr>
        <sz val="8"/>
        <rFont val="Times New Roman"/>
        <family val="1"/>
        <charset val="204"/>
      </rPr>
      <t xml:space="preserve"> природного газа </t>
    </r>
  </si>
  <si>
    <r>
      <t>■</t>
    </r>
    <r>
      <rPr>
        <sz val="8"/>
        <rFont val="Times New Roman"/>
        <family val="1"/>
        <charset val="204"/>
      </rPr>
      <t>3,0 млрд м</t>
    </r>
    <r>
      <rPr>
        <vertAlign val="superscript"/>
        <sz val="8"/>
        <rFont val="Times New Roman"/>
        <family val="1"/>
        <charset val="204"/>
      </rPr>
      <t>3</t>
    </r>
    <r>
      <rPr>
        <sz val="8"/>
        <rFont val="Times New Roman"/>
        <family val="1"/>
        <charset val="204"/>
      </rPr>
      <t xml:space="preserve"> природного газа</t>
    </r>
  </si>
  <si>
    <r>
      <t>■</t>
    </r>
    <r>
      <rPr>
        <sz val="8"/>
        <rFont val="Times New Roman"/>
        <family val="1"/>
        <charset val="204"/>
      </rPr>
      <t xml:space="preserve">1,25 млн т нестабильного конденсата (деэтанизация) </t>
    </r>
  </si>
  <si>
    <r>
      <t>■</t>
    </r>
    <r>
      <rPr>
        <sz val="8"/>
        <rFont val="Times New Roman"/>
        <family val="1"/>
        <charset val="204"/>
      </rPr>
      <t>13,9 млн т нестабильного конденсата (деэтанизация и стабилизация)</t>
    </r>
  </si>
  <si>
    <r>
      <t>■</t>
    </r>
    <r>
      <rPr>
        <sz val="8"/>
        <rFont val="Times New Roman"/>
        <family val="1"/>
        <charset val="204"/>
      </rPr>
      <t>750 тыс. т метанола</t>
    </r>
  </si>
  <si>
    <r>
      <t>■</t>
    </r>
    <r>
      <rPr>
        <sz val="8"/>
        <rFont val="Times New Roman"/>
        <family val="1"/>
        <charset val="204"/>
      </rPr>
      <t>19,5 млн т нефти</t>
    </r>
  </si>
  <si>
    <r>
      <t>■</t>
    </r>
    <r>
      <rPr>
        <sz val="8"/>
        <rFont val="Times New Roman"/>
        <family val="1"/>
        <charset val="204"/>
      </rPr>
      <t>12,15 млн т нефти</t>
    </r>
  </si>
  <si>
    <r>
      <t>■</t>
    </r>
    <r>
      <rPr>
        <sz val="8"/>
        <rFont val="Times New Roman"/>
        <family val="1"/>
        <charset val="204"/>
      </rPr>
      <t>30 тыс. т масел и 6 тыс. т смазочных материалов</t>
    </r>
  </si>
  <si>
    <r>
      <t>■</t>
    </r>
    <r>
      <rPr>
        <sz val="8"/>
        <rFont val="Times New Roman"/>
        <family val="1"/>
        <charset val="204"/>
      </rPr>
      <t>7,3 млн т нефти</t>
    </r>
  </si>
  <si>
    <r>
      <t>■</t>
    </r>
    <r>
      <rPr>
        <sz val="8"/>
        <rFont val="Times New Roman"/>
        <family val="1"/>
        <charset val="204"/>
      </rPr>
      <t>15,2 млн т нефти</t>
    </r>
  </si>
  <si>
    <t>■8,05 млн т нестабильного, 
в т. ч. деэтанизированного конденсата (стабилизация)</t>
  </si>
  <si>
    <r>
      <t xml:space="preserve">в т.ч. от добычи </t>
    </r>
    <r>
      <rPr>
        <i/>
        <sz val="8"/>
        <rFont val="Times New Roman"/>
        <family val="1"/>
        <charset val="204"/>
      </rPr>
      <t xml:space="preserve">Группы Газпром </t>
    </r>
    <r>
      <rPr>
        <sz val="8"/>
        <rFont val="Times New Roman"/>
        <family val="1"/>
        <charset val="204"/>
      </rPr>
      <t>**</t>
    </r>
  </si>
  <si>
    <r>
      <t>Протяженность наружных газопроводов, обслуживаемых дочерними и зависимыми газораспределительными организациями (ГРО)</t>
    </r>
    <r>
      <rPr>
        <i/>
        <sz val="8"/>
        <rFont val="Times New Roman"/>
        <family val="1"/>
        <charset val="204"/>
      </rPr>
      <t xml:space="preserve"> Газпрома</t>
    </r>
    <r>
      <rPr>
        <sz val="8"/>
        <rFont val="Times New Roman"/>
        <family val="1"/>
        <charset val="204"/>
      </rPr>
      <t>, тыс. км</t>
    </r>
  </si>
  <si>
    <t xml:space="preserve">ОАО «Газпром» получены лицензии на право пользования участками недр Восточный Майлису – IV и Кугарт с целью геологического изучения недр. 
Сформирован российско-кыргызстанский управляющий комитет по надзору за исполнением Соглашения.
</t>
  </si>
  <si>
    <t xml:space="preserve">Сухопутный участок –
от 1 500 до 2 300 км (в зависимости от  маршрута).
Морской участок – около 930 км
</t>
  </si>
  <si>
    <t>В сентябре 2008 г. ОАО «Газпром», 
АО «НК «КазМунайГаз» и ГК «Туркменгаз» подписали Соглашение об основных принципах сотрудничества в строительстве Прикаспийского газопровода, Положение о Координационном комитете и Положение о группе управления проектом. Утверждены Базовое задание на ТЭО строительства Прикаспийского газопровода и основные исходные данные по проекту.</t>
  </si>
  <si>
    <t>Обеспечение возможности подачи дополнительных объемов газа в Грязовецкий газотранспортный узел и маневрирование потоками газа после ввода месторождений полуострова Ямал.</t>
  </si>
  <si>
    <t>По состоянию на 31 декабря 2010 г. введено в эксплуатацию 298,3 км линейной части газопровода и одна КС мощностью 96 МВт. Завершение первого этапа строительства газопровода ожидается в 2012 г.</t>
  </si>
  <si>
    <t xml:space="preserve">1 322 км
(включая двухниточный переход через пролив Невельского – 
24 км и газопровод отвод к ГРС 
г. Владивосток – 115 км)
</t>
  </si>
  <si>
    <r>
      <t xml:space="preserve">Обеспечение транспортировки увеличивающихся объемов добычи газа </t>
    </r>
    <r>
      <rPr>
        <i/>
        <sz val="8"/>
        <rFont val="Times New Roman"/>
        <family val="1"/>
        <charset val="204"/>
      </rPr>
      <t>Газпрома</t>
    </r>
    <r>
      <rPr>
        <sz val="8"/>
        <rFont val="Times New Roman"/>
        <family val="1"/>
        <charset val="204"/>
      </rPr>
      <t xml:space="preserve"> и независимых производителей на разрабатываемых месторождениях Надым-Пур-Тазовского региона.</t>
    </r>
  </si>
  <si>
    <t>Группа Газпром нефть</t>
  </si>
  <si>
    <t>Прочие дочерние общества</t>
  </si>
  <si>
    <t xml:space="preserve">в т. ч. по категориям: </t>
  </si>
  <si>
    <t xml:space="preserve">руководители </t>
  </si>
  <si>
    <t xml:space="preserve">специалисты </t>
  </si>
  <si>
    <t xml:space="preserve">рабочие </t>
  </si>
  <si>
    <t xml:space="preserve">другие служащие </t>
  </si>
  <si>
    <t xml:space="preserve">в т. ч. по возрастным группам: </t>
  </si>
  <si>
    <t>до 30 лет</t>
  </si>
  <si>
    <t>от 30 до 40 лет</t>
  </si>
  <si>
    <t>от 40 до 50 лет</t>
  </si>
  <si>
    <t xml:space="preserve">Образовательный уровень персонала Группы Газпром </t>
  </si>
  <si>
    <t>высшее и послевузовское</t>
  </si>
  <si>
    <t>среднее специальное</t>
  </si>
  <si>
    <t xml:space="preserve">среднее </t>
  </si>
  <si>
    <t>Специалисты:</t>
  </si>
  <si>
    <t>Рабочие:</t>
  </si>
  <si>
    <t>С целью поиска, разведки и добычи (НР)</t>
  </si>
  <si>
    <t>С целью разведки и добычи (НЭ)</t>
  </si>
  <si>
    <t>С целью геологического изучения недр (НП)</t>
  </si>
  <si>
    <t>Южный  и Северо-Кавказский ФО</t>
  </si>
  <si>
    <t>Год начала добычи</t>
  </si>
  <si>
    <t>Дочернее общество - держатель лицензии</t>
  </si>
  <si>
    <t>Доля Группы (%)</t>
  </si>
  <si>
    <t>Западная Сибирь (Уральский федеральный округ)</t>
  </si>
  <si>
    <t>Уренгойское</t>
  </si>
  <si>
    <t>ООО «Газпром добыча Уренгой»</t>
  </si>
  <si>
    <t>НГК</t>
  </si>
  <si>
    <t>НЭ</t>
  </si>
  <si>
    <t>Северо-Уренгойское</t>
  </si>
  <si>
    <t>Г</t>
  </si>
  <si>
    <t>Ен-Яхинское</t>
  </si>
  <si>
    <t>Песцовое</t>
  </si>
  <si>
    <t xml:space="preserve">Ямбургское </t>
  </si>
  <si>
    <t>ООО «Газпром добыча Ямбург»</t>
  </si>
  <si>
    <t>Заполярное</t>
  </si>
</sst>
</file>

<file path=xl/styles.xml><?xml version="1.0" encoding="utf-8"?>
<styleSheet xmlns="http://schemas.openxmlformats.org/spreadsheetml/2006/main">
  <numFmts count="13">
    <numFmt numFmtId="43" formatCode="_-* #,##0.00_р_._-;\-* #,##0.00_р_._-;_-* &quot;-&quot;??_р_._-;_-@_-"/>
    <numFmt numFmtId="164" formatCode="0.0"/>
    <numFmt numFmtId="165" formatCode="#,##0.0"/>
    <numFmt numFmtId="166" formatCode="_(* #,##0.0_);_(* \(#,##0.0\);_(* &quot;-&quot;??_);_(@_)"/>
    <numFmt numFmtId="167" formatCode="0.0%"/>
    <numFmt numFmtId="168" formatCode="0.000%"/>
    <numFmt numFmtId="169" formatCode="#,##0.0;\(#,##0.0\);&quot;-&quot;"/>
    <numFmt numFmtId="170" formatCode="#,##0.00;\(#,##0.00\);&quot;-&quot;"/>
    <numFmt numFmtId="171" formatCode="0.00000000"/>
    <numFmt numFmtId="172" formatCode="0.0;\-0.0;&quot;-&quot;"/>
    <numFmt numFmtId="173" formatCode="#,##0;\(#,##0\);&quot;-&quot;"/>
    <numFmt numFmtId="174" formatCode="0.0%;\-0.0%;&quot;-&quot;"/>
    <numFmt numFmtId="175" formatCode="_-* #,##0.0_р_._-;\-* #,##0.0_р_._-;_-* &quot;-&quot;?_р_._-;_-@_-"/>
  </numFmts>
  <fonts count="47">
    <font>
      <sz val="10"/>
      <name val="Arial Cyr"/>
    </font>
    <font>
      <sz val="10"/>
      <name val="Arial Cyr"/>
      <charset val="204"/>
    </font>
    <font>
      <sz val="10"/>
      <name val="Times New Roman"/>
      <family val="1"/>
      <charset val="204"/>
    </font>
    <font>
      <sz val="12"/>
      <name val="Times New Roman"/>
      <family val="1"/>
      <charset val="204"/>
    </font>
    <font>
      <b/>
      <sz val="8"/>
      <name val="Times New Roman"/>
      <family val="1"/>
      <charset val="204"/>
    </font>
    <font>
      <sz val="8"/>
      <name val="Times New Roman"/>
      <family val="1"/>
      <charset val="204"/>
    </font>
    <font>
      <vertAlign val="subscript"/>
      <sz val="9"/>
      <name val="Times New Roman"/>
      <family val="1"/>
      <charset val="204"/>
    </font>
    <font>
      <u/>
      <sz val="10"/>
      <color indexed="12"/>
      <name val="Arial Cyr"/>
      <charset val="204"/>
    </font>
    <font>
      <sz val="8"/>
      <name val="Arial Cyr"/>
      <charset val="204"/>
    </font>
    <font>
      <vertAlign val="superscript"/>
      <sz val="8"/>
      <name val="Times New Roman"/>
      <family val="1"/>
      <charset val="204"/>
    </font>
    <font>
      <vertAlign val="subscript"/>
      <sz val="8"/>
      <name val="Times New Roman"/>
      <family val="1"/>
      <charset val="204"/>
    </font>
    <font>
      <b/>
      <sz val="10"/>
      <name val="Arial"/>
      <family val="2"/>
      <charset val="204"/>
    </font>
    <font>
      <sz val="8"/>
      <color indexed="8"/>
      <name val="Times New Roman"/>
      <family val="1"/>
      <charset val="204"/>
    </font>
    <font>
      <b/>
      <sz val="8"/>
      <color indexed="8"/>
      <name val="Times New Roman"/>
      <family val="1"/>
      <charset val="204"/>
    </font>
    <font>
      <b/>
      <sz val="10"/>
      <name val="Arial"/>
      <family val="2"/>
      <charset val="204"/>
    </font>
    <font>
      <i/>
      <sz val="10"/>
      <name val="Times New Roman"/>
      <family val="1"/>
      <charset val="204"/>
    </font>
    <font>
      <b/>
      <sz val="10"/>
      <name val="Times New Roman"/>
      <family val="1"/>
      <charset val="204"/>
    </font>
    <font>
      <b/>
      <sz val="14"/>
      <name val="Times New Roman"/>
      <family val="1"/>
      <charset val="204"/>
    </font>
    <font>
      <b/>
      <sz val="8"/>
      <color indexed="9"/>
      <name val="Times New Roman"/>
      <family val="1"/>
      <charset val="204"/>
    </font>
    <font>
      <sz val="7"/>
      <name val="Times New Roman"/>
      <family val="1"/>
      <charset val="204"/>
    </font>
    <font>
      <b/>
      <vertAlign val="superscript"/>
      <sz val="8"/>
      <color indexed="9"/>
      <name val="Times New Roman"/>
      <family val="1"/>
      <charset val="204"/>
    </font>
    <font>
      <sz val="8"/>
      <color indexed="9"/>
      <name val="Times New Roman"/>
      <family val="1"/>
      <charset val="204"/>
    </font>
    <font>
      <sz val="8"/>
      <color indexed="63"/>
      <name val="Times New Roman"/>
      <family val="1"/>
      <charset val="204"/>
    </font>
    <font>
      <vertAlign val="subscript"/>
      <sz val="10"/>
      <name val="Times New Roman"/>
      <family val="1"/>
      <charset val="204"/>
    </font>
    <font>
      <sz val="10"/>
      <name val="Symbol"/>
      <family val="1"/>
      <charset val="2"/>
    </font>
    <font>
      <b/>
      <i/>
      <sz val="10"/>
      <name val="Times New Roman"/>
      <family val="1"/>
      <charset val="204"/>
    </font>
    <font>
      <i/>
      <sz val="8"/>
      <color indexed="9"/>
      <name val="Times New Roman"/>
      <family val="1"/>
      <charset val="204"/>
    </font>
    <font>
      <sz val="8"/>
      <name val="Arial Cyr"/>
    </font>
    <font>
      <i/>
      <sz val="8"/>
      <name val="Times New Roman"/>
      <family val="1"/>
      <charset val="204"/>
    </font>
    <font>
      <sz val="8"/>
      <name val="SymbolPS"/>
    </font>
    <font>
      <sz val="10"/>
      <name val="Arial Cyr"/>
    </font>
    <font>
      <sz val="8"/>
      <color indexed="10"/>
      <name val="Times New Roman"/>
      <family val="1"/>
      <charset val="204"/>
    </font>
    <font>
      <sz val="8"/>
      <color indexed="18"/>
      <name val="Times New Roman"/>
      <family val="1"/>
      <charset val="204"/>
    </font>
    <font>
      <vertAlign val="superscript"/>
      <sz val="8"/>
      <color indexed="63"/>
      <name val="Times New Roman"/>
      <family val="1"/>
      <charset val="204"/>
    </font>
    <font>
      <sz val="10"/>
      <color indexed="12"/>
      <name val="Arial Cyr"/>
    </font>
    <font>
      <b/>
      <sz val="20"/>
      <name val="Arial"/>
      <family val="2"/>
      <charset val="204"/>
    </font>
    <font>
      <b/>
      <sz val="12"/>
      <name val="Arial"/>
      <family val="2"/>
      <charset val="204"/>
    </font>
    <font>
      <b/>
      <vertAlign val="subscript"/>
      <sz val="12"/>
      <name val="Arial"/>
      <family val="2"/>
      <charset val="204"/>
    </font>
    <font>
      <sz val="10"/>
      <name val="Arial"/>
      <family val="2"/>
      <charset val="204"/>
    </font>
    <font>
      <b/>
      <sz val="10"/>
      <name val="Arial Cyr"/>
      <charset val="204"/>
    </font>
    <font>
      <b/>
      <u/>
      <sz val="10"/>
      <color indexed="12"/>
      <name val="Arial Cyr"/>
      <charset val="204"/>
    </font>
    <font>
      <b/>
      <u/>
      <sz val="10"/>
      <color indexed="30"/>
      <name val="Arial Cyr"/>
      <charset val="204"/>
    </font>
    <font>
      <b/>
      <sz val="12"/>
      <name val="Times New Roman"/>
      <family val="1"/>
      <charset val="204"/>
    </font>
    <font>
      <b/>
      <i/>
      <sz val="8"/>
      <name val="Times New Roman"/>
      <family val="1"/>
      <charset val="204"/>
    </font>
    <font>
      <sz val="14"/>
      <name val="Times New Roman"/>
      <family val="1"/>
      <charset val="204"/>
    </font>
    <font>
      <b/>
      <vertAlign val="superscript"/>
      <sz val="8"/>
      <name val="Times New Roman"/>
      <family val="1"/>
      <charset val="204"/>
    </font>
    <font>
      <vertAlign val="subscript"/>
      <sz val="10"/>
      <color indexed="12"/>
      <name val="Arial Cyr"/>
      <charset val="204"/>
    </font>
  </fonts>
  <fills count="4">
    <fill>
      <patternFill patternType="none"/>
    </fill>
    <fill>
      <patternFill patternType="gray125"/>
    </fill>
    <fill>
      <patternFill patternType="solid">
        <fgColor indexed="9"/>
        <bgColor indexed="64"/>
      </patternFill>
    </fill>
    <fill>
      <patternFill patternType="solid">
        <fgColor indexed="30"/>
        <bgColor indexed="64"/>
      </patternFill>
    </fill>
  </fills>
  <borders count="13">
    <border>
      <left/>
      <right/>
      <top/>
      <bottom/>
      <diagonal/>
    </border>
    <border>
      <left/>
      <right/>
      <top/>
      <bottom style="medium">
        <color indexed="30"/>
      </bottom>
      <diagonal/>
    </border>
    <border>
      <left/>
      <right/>
      <top style="thin">
        <color indexed="30"/>
      </top>
      <bottom style="thin">
        <color indexed="30"/>
      </bottom>
      <diagonal/>
    </border>
    <border>
      <left/>
      <right/>
      <top style="medium">
        <color indexed="30"/>
      </top>
      <bottom/>
      <diagonal/>
    </border>
    <border>
      <left/>
      <right/>
      <top/>
      <bottom style="thick">
        <color indexed="30"/>
      </bottom>
      <diagonal/>
    </border>
    <border>
      <left/>
      <right/>
      <top style="medium">
        <color indexed="30"/>
      </top>
      <bottom style="thick">
        <color indexed="30"/>
      </bottom>
      <diagonal/>
    </border>
    <border>
      <left/>
      <right/>
      <top style="thin">
        <color indexed="30"/>
      </top>
      <bottom/>
      <diagonal/>
    </border>
    <border>
      <left/>
      <right/>
      <top/>
      <bottom style="thin">
        <color indexed="30"/>
      </bottom>
      <diagonal/>
    </border>
    <border>
      <left/>
      <right/>
      <top style="thick">
        <color indexed="30"/>
      </top>
      <bottom/>
      <diagonal/>
    </border>
    <border>
      <left/>
      <right/>
      <top style="thin">
        <color indexed="30"/>
      </top>
      <bottom style="thick">
        <color indexed="30"/>
      </bottom>
      <diagonal/>
    </border>
    <border>
      <left/>
      <right/>
      <top style="medium">
        <color indexed="30"/>
      </top>
      <bottom style="medium">
        <color indexed="30"/>
      </bottom>
      <diagonal/>
    </border>
    <border>
      <left/>
      <right/>
      <top style="medium">
        <color indexed="30"/>
      </top>
      <bottom style="thin">
        <color indexed="30"/>
      </bottom>
      <diagonal/>
    </border>
    <border>
      <left/>
      <right/>
      <top style="thick">
        <color indexed="30"/>
      </top>
      <bottom style="thin">
        <color indexed="30"/>
      </bottom>
      <diagonal/>
    </border>
  </borders>
  <cellStyleXfs count="6">
    <xf numFmtId="0" fontId="0" fillId="0" borderId="0" applyFont="0" applyFill="0" applyBorder="0" applyAlignment="0" applyProtection="0"/>
    <xf numFmtId="0" fontId="30" fillId="0" borderId="0" applyFont="0" applyFill="0" applyBorder="0" applyAlignment="0" applyProtection="0"/>
    <xf numFmtId="0" fontId="7"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597">
    <xf numFmtId="0" fontId="0" fillId="0" borderId="0" xfId="0"/>
    <xf numFmtId="0" fontId="0" fillId="0" borderId="0" xfId="1" applyFont="1" applyBorder="1"/>
    <xf numFmtId="0" fontId="0" fillId="2" borderId="0" xfId="1" applyFont="1" applyFill="1"/>
    <xf numFmtId="0" fontId="0" fillId="2" borderId="0" xfId="1" applyFont="1" applyFill="1" applyAlignment="1">
      <alignment wrapText="1"/>
    </xf>
    <xf numFmtId="0" fontId="0" fillId="2" borderId="0" xfId="1" applyFont="1" applyFill="1" applyBorder="1"/>
    <xf numFmtId="0" fontId="0" fillId="2" borderId="0" xfId="1" applyFont="1" applyFill="1" applyBorder="1" applyAlignment="1">
      <alignment wrapText="1"/>
    </xf>
    <xf numFmtId="165" fontId="5" fillId="2" borderId="0" xfId="1" applyNumberFormat="1" applyFont="1" applyFill="1" applyAlignment="1">
      <alignment horizontal="right" wrapText="1"/>
    </xf>
    <xf numFmtId="165" fontId="5" fillId="2" borderId="0" xfId="1" applyNumberFormat="1" applyFont="1" applyFill="1" applyBorder="1" applyAlignment="1">
      <alignment horizontal="right" wrapText="1"/>
    </xf>
    <xf numFmtId="0" fontId="5" fillId="2" borderId="0" xfId="1" applyFont="1" applyFill="1" applyBorder="1" applyAlignment="1">
      <alignment wrapText="1"/>
    </xf>
    <xf numFmtId="164" fontId="5" fillId="2" borderId="0" xfId="1" applyNumberFormat="1" applyFont="1" applyFill="1" applyBorder="1" applyAlignment="1">
      <alignment horizontal="center" wrapText="1"/>
    </xf>
    <xf numFmtId="0" fontId="5" fillId="2" borderId="0" xfId="1" applyFont="1" applyFill="1" applyBorder="1" applyAlignment="1">
      <alignment horizontal="center" wrapText="1"/>
    </xf>
    <xf numFmtId="0" fontId="4" fillId="2" borderId="0" xfId="1" applyFont="1" applyFill="1" applyBorder="1" applyAlignment="1">
      <alignment horizontal="center" wrapText="1"/>
    </xf>
    <xf numFmtId="0" fontId="14" fillId="2" borderId="0" xfId="1" applyFont="1" applyFill="1" applyBorder="1" applyAlignment="1">
      <alignment horizontal="center" vertical="center"/>
    </xf>
    <xf numFmtId="165" fontId="4" fillId="2" borderId="0" xfId="1" applyNumberFormat="1" applyFont="1" applyFill="1" applyBorder="1" applyAlignment="1">
      <alignment horizontal="right" vertical="top" wrapText="1"/>
    </xf>
    <xf numFmtId="0" fontId="11" fillId="2" borderId="0" xfId="1" applyFont="1" applyFill="1" applyBorder="1"/>
    <xf numFmtId="167" fontId="0" fillId="2" borderId="0" xfId="1" applyNumberFormat="1" applyFont="1" applyFill="1" applyBorder="1"/>
    <xf numFmtId="168" fontId="0" fillId="2" borderId="0" xfId="1" applyNumberFormat="1" applyFont="1" applyFill="1"/>
    <xf numFmtId="171" fontId="0" fillId="2" borderId="0" xfId="1" applyNumberFormat="1" applyFont="1" applyFill="1" applyBorder="1"/>
    <xf numFmtId="0" fontId="5" fillId="2" borderId="0" xfId="1" applyFont="1" applyFill="1" applyBorder="1" applyAlignment="1">
      <alignment vertical="top" wrapText="1"/>
    </xf>
    <xf numFmtId="0" fontId="4" fillId="2" borderId="0" xfId="1" applyFont="1" applyFill="1" applyBorder="1" applyAlignment="1">
      <alignment vertical="top" wrapText="1"/>
    </xf>
    <xf numFmtId="0" fontId="40" fillId="2" borderId="0" xfId="2" applyFont="1" applyFill="1" applyBorder="1" applyAlignment="1" applyProtection="1"/>
    <xf numFmtId="0" fontId="41" fillId="2" borderId="0" xfId="2" applyFont="1" applyFill="1" applyBorder="1" applyAlignment="1" applyProtection="1"/>
    <xf numFmtId="0" fontId="40" fillId="2" borderId="0" xfId="2" applyFont="1" applyFill="1" applyBorder="1" applyAlignment="1" applyProtection="1">
      <alignment horizontal="left"/>
    </xf>
    <xf numFmtId="0" fontId="0" fillId="2" borderId="0" xfId="1" applyFont="1" applyFill="1" applyAlignment="1"/>
    <xf numFmtId="0" fontId="18" fillId="3" borderId="0" xfId="1" applyFont="1" applyFill="1" applyAlignment="1" applyProtection="1">
      <alignment horizontal="center" wrapText="1"/>
      <protection hidden="1"/>
    </xf>
    <xf numFmtId="0" fontId="18" fillId="3" borderId="0" xfId="1" applyFont="1" applyFill="1" applyAlignment="1" applyProtection="1">
      <alignment horizontal="center" vertical="top" wrapText="1"/>
      <protection hidden="1"/>
    </xf>
    <xf numFmtId="0" fontId="5" fillId="2" borderId="2" xfId="1" applyFont="1" applyFill="1" applyBorder="1" applyAlignment="1" applyProtection="1">
      <alignment horizontal="center" vertical="top" wrapText="1"/>
      <protection hidden="1"/>
    </xf>
    <xf numFmtId="0" fontId="36" fillId="0" borderId="0" xfId="1" applyFont="1" applyAlignment="1" applyProtection="1">
      <alignment horizontal="left"/>
      <protection hidden="1"/>
    </xf>
    <xf numFmtId="0" fontId="0" fillId="2" borderId="0" xfId="1" applyFont="1" applyFill="1" applyProtection="1">
      <protection hidden="1"/>
    </xf>
    <xf numFmtId="0" fontId="0" fillId="2" borderId="0" xfId="1" applyFont="1" applyFill="1" applyBorder="1" applyProtection="1">
      <protection hidden="1"/>
    </xf>
    <xf numFmtId="0" fontId="18" fillId="3" borderId="0" xfId="1" applyFont="1" applyFill="1" applyAlignment="1" applyProtection="1">
      <alignment wrapText="1"/>
      <protection hidden="1"/>
    </xf>
    <xf numFmtId="0" fontId="18" fillId="2" borderId="0" xfId="1" applyFont="1" applyFill="1" applyBorder="1" applyAlignment="1" applyProtection="1">
      <alignment horizontal="center" wrapText="1"/>
      <protection hidden="1"/>
    </xf>
    <xf numFmtId="0" fontId="18" fillId="3" borderId="0" xfId="1" applyNumberFormat="1" applyFont="1" applyFill="1" applyAlignment="1" applyProtection="1">
      <alignment horizontal="center" wrapText="1"/>
      <protection hidden="1"/>
    </xf>
    <xf numFmtId="0" fontId="18" fillId="2" borderId="0" xfId="1" applyNumberFormat="1" applyFont="1" applyFill="1" applyBorder="1" applyAlignment="1" applyProtection="1">
      <alignment horizontal="center" wrapText="1"/>
      <protection hidden="1"/>
    </xf>
    <xf numFmtId="0" fontId="18" fillId="3" borderId="0" xfId="1" applyFont="1" applyFill="1" applyAlignment="1" applyProtection="1">
      <alignment vertical="top" wrapText="1"/>
      <protection hidden="1"/>
    </xf>
    <xf numFmtId="0" fontId="21" fillId="2" borderId="0" xfId="1" applyFont="1" applyFill="1" applyBorder="1" applyAlignment="1" applyProtection="1">
      <alignment horizontal="right" vertical="top" wrapText="1"/>
      <protection hidden="1"/>
    </xf>
    <xf numFmtId="0" fontId="5" fillId="2" borderId="0" xfId="1" applyFont="1" applyFill="1" applyAlignment="1" applyProtection="1">
      <alignment vertical="top" wrapText="1"/>
      <protection hidden="1"/>
    </xf>
    <xf numFmtId="4" fontId="5" fillId="2" borderId="0" xfId="5" applyNumberFormat="1" applyFont="1" applyFill="1" applyBorder="1" applyAlignment="1" applyProtection="1">
      <alignment horizontal="right" wrapText="1"/>
      <protection hidden="1"/>
    </xf>
    <xf numFmtId="0" fontId="5" fillId="2" borderId="0" xfId="1" applyFont="1" applyFill="1" applyBorder="1" applyAlignment="1" applyProtection="1">
      <alignment horizontal="right" vertical="top" wrapText="1"/>
      <protection hidden="1"/>
    </xf>
    <xf numFmtId="0" fontId="4" fillId="2" borderId="0" xfId="1" applyFont="1" applyFill="1" applyAlignment="1" applyProtection="1">
      <alignment vertical="top" wrapText="1"/>
      <protection hidden="1"/>
    </xf>
    <xf numFmtId="4" fontId="4" fillId="2" borderId="3" xfId="5" applyNumberFormat="1" applyFont="1" applyFill="1" applyBorder="1" applyAlignment="1" applyProtection="1">
      <alignment horizontal="right" wrapText="1"/>
      <protection hidden="1"/>
    </xf>
    <xf numFmtId="0" fontId="4" fillId="2" borderId="0" xfId="1" applyFont="1" applyFill="1" applyBorder="1" applyAlignment="1" applyProtection="1">
      <alignment horizontal="right" vertical="top" wrapText="1"/>
      <protection hidden="1"/>
    </xf>
    <xf numFmtId="0" fontId="5" fillId="2" borderId="0" xfId="1" applyFont="1" applyFill="1" applyAlignment="1" applyProtection="1">
      <alignment horizontal="right" vertical="top" wrapText="1"/>
      <protection hidden="1"/>
    </xf>
    <xf numFmtId="4" fontId="5" fillId="2" borderId="0" xfId="1" applyNumberFormat="1" applyFont="1" applyFill="1" applyAlignment="1" applyProtection="1">
      <alignment horizontal="right" wrapText="1"/>
      <protection hidden="1"/>
    </xf>
    <xf numFmtId="0" fontId="4" fillId="2" borderId="4" xfId="1" applyFont="1" applyFill="1" applyBorder="1" applyAlignment="1" applyProtection="1">
      <alignment vertical="top" wrapText="1"/>
      <protection hidden="1"/>
    </xf>
    <xf numFmtId="0" fontId="5" fillId="2" borderId="4" xfId="1" applyFont="1" applyFill="1" applyBorder="1" applyAlignment="1" applyProtection="1">
      <alignment horizontal="right" vertical="top" wrapText="1"/>
      <protection hidden="1"/>
    </xf>
    <xf numFmtId="4" fontId="4" fillId="2" borderId="5" xfId="1" applyNumberFormat="1" applyFont="1" applyFill="1" applyBorder="1" applyAlignment="1" applyProtection="1">
      <alignment horizontal="right" wrapText="1"/>
      <protection hidden="1"/>
    </xf>
    <xf numFmtId="0" fontId="5" fillId="2" borderId="0" xfId="1" applyFont="1" applyFill="1" applyAlignment="1" applyProtection="1">
      <alignment horizontal="center" vertical="top" wrapText="1"/>
      <protection hidden="1"/>
    </xf>
    <xf numFmtId="0" fontId="5" fillId="2" borderId="6" xfId="1" applyFont="1" applyFill="1" applyBorder="1" applyAlignment="1" applyProtection="1">
      <alignment horizontal="left" vertical="top" wrapText="1"/>
      <protection hidden="1"/>
    </xf>
    <xf numFmtId="0" fontId="5" fillId="2" borderId="7" xfId="1" applyFont="1" applyFill="1" applyBorder="1" applyAlignment="1" applyProtection="1">
      <alignment horizontal="left" vertical="top" wrapText="1"/>
      <protection hidden="1"/>
    </xf>
    <xf numFmtId="0" fontId="5" fillId="2" borderId="2" xfId="1" applyFont="1" applyFill="1" applyBorder="1" applyAlignment="1" applyProtection="1">
      <alignment vertical="top" wrapText="1"/>
      <protection hidden="1"/>
    </xf>
    <xf numFmtId="0" fontId="36" fillId="2" borderId="0" xfId="1" applyFont="1" applyFill="1" applyAlignment="1" applyProtection="1">
      <alignment horizontal="left"/>
      <protection hidden="1"/>
    </xf>
    <xf numFmtId="0" fontId="4" fillId="2" borderId="1" xfId="1" applyFont="1" applyFill="1" applyBorder="1" applyAlignment="1" applyProtection="1">
      <alignment wrapText="1"/>
      <protection hidden="1"/>
    </xf>
    <xf numFmtId="169" fontId="4" fillId="2" borderId="1" xfId="1" applyNumberFormat="1" applyFont="1" applyFill="1" applyBorder="1" applyAlignment="1" applyProtection="1">
      <alignment horizontal="right" wrapText="1"/>
      <protection hidden="1"/>
    </xf>
    <xf numFmtId="169" fontId="4" fillId="2" borderId="0" xfId="1" applyNumberFormat="1" applyFont="1" applyFill="1" applyBorder="1" applyAlignment="1" applyProtection="1">
      <alignment horizontal="right" wrapText="1"/>
      <protection hidden="1"/>
    </xf>
    <xf numFmtId="0" fontId="5" fillId="2" borderId="0" xfId="1" applyFont="1" applyFill="1" applyAlignment="1" applyProtection="1">
      <alignment wrapText="1"/>
      <protection hidden="1"/>
    </xf>
    <xf numFmtId="169" fontId="5" fillId="2" borderId="0" xfId="1" applyNumberFormat="1" applyFont="1" applyFill="1" applyAlignment="1" applyProtection="1">
      <alignment horizontal="right" wrapText="1"/>
      <protection hidden="1"/>
    </xf>
    <xf numFmtId="169" fontId="5" fillId="2" borderId="0" xfId="1" applyNumberFormat="1" applyFont="1" applyFill="1" applyBorder="1" applyAlignment="1" applyProtection="1">
      <alignment horizontal="right" wrapText="1"/>
      <protection hidden="1"/>
    </xf>
    <xf numFmtId="169" fontId="3" fillId="2" borderId="0" xfId="1" applyNumberFormat="1" applyFont="1" applyFill="1" applyBorder="1" applyAlignment="1" applyProtection="1">
      <alignment horizontal="right" wrapText="1"/>
      <protection hidden="1"/>
    </xf>
    <xf numFmtId="0" fontId="5" fillId="2" borderId="0" xfId="1" applyFont="1" applyFill="1" applyAlignment="1" applyProtection="1">
      <alignment horizontal="left" wrapText="1" indent="1"/>
      <protection hidden="1"/>
    </xf>
    <xf numFmtId="0" fontId="5" fillId="0" borderId="0" xfId="1" applyFont="1" applyAlignment="1" applyProtection="1">
      <alignment horizontal="left" wrapText="1" indent="1"/>
      <protection hidden="1"/>
    </xf>
    <xf numFmtId="0" fontId="5" fillId="2" borderId="1" xfId="1" applyFont="1" applyFill="1" applyBorder="1" applyAlignment="1" applyProtection="1">
      <alignment wrapText="1"/>
      <protection hidden="1"/>
    </xf>
    <xf numFmtId="169" fontId="5" fillId="2" borderId="1" xfId="1" applyNumberFormat="1" applyFont="1" applyFill="1" applyBorder="1" applyAlignment="1" applyProtection="1">
      <alignment horizontal="right" wrapText="1"/>
      <protection hidden="1"/>
    </xf>
    <xf numFmtId="0" fontId="4" fillId="2" borderId="1" xfId="1" applyFont="1" applyFill="1" applyBorder="1" applyAlignment="1" applyProtection="1">
      <alignment vertical="top" wrapText="1"/>
      <protection hidden="1"/>
    </xf>
    <xf numFmtId="0" fontId="5" fillId="2" borderId="0" xfId="1" applyFont="1" applyFill="1" applyBorder="1" applyAlignment="1" applyProtection="1">
      <alignment wrapText="1"/>
      <protection hidden="1"/>
    </xf>
    <xf numFmtId="169" fontId="5" fillId="2" borderId="0" xfId="1" applyNumberFormat="1" applyFont="1" applyFill="1" applyBorder="1" applyAlignment="1" applyProtection="1">
      <alignment horizontal="right" vertical="top" wrapText="1"/>
      <protection hidden="1"/>
    </xf>
    <xf numFmtId="169" fontId="5" fillId="2" borderId="0" xfId="1" applyNumberFormat="1" applyFont="1" applyFill="1" applyAlignment="1" applyProtection="1">
      <alignment horizontal="right" vertical="top" wrapText="1"/>
      <protection hidden="1"/>
    </xf>
    <xf numFmtId="170" fontId="5" fillId="2" borderId="0" xfId="1" applyNumberFormat="1" applyFont="1" applyFill="1" applyAlignment="1" applyProtection="1">
      <alignment horizontal="right" wrapText="1"/>
      <protection hidden="1"/>
    </xf>
    <xf numFmtId="0" fontId="4" fillId="2" borderId="4" xfId="1" applyFont="1" applyFill="1" applyBorder="1" applyAlignment="1" applyProtection="1">
      <alignment wrapText="1"/>
      <protection hidden="1"/>
    </xf>
    <xf numFmtId="169" fontId="4" fillId="2" borderId="4" xfId="1" applyNumberFormat="1" applyFont="1" applyFill="1" applyBorder="1" applyAlignment="1" applyProtection="1">
      <alignment horizontal="right" wrapText="1"/>
      <protection hidden="1"/>
    </xf>
    <xf numFmtId="0" fontId="5" fillId="0" borderId="0" xfId="1" applyFont="1" applyBorder="1" applyAlignment="1" applyProtection="1">
      <alignment horizontal="left" wrapText="1" indent="1"/>
      <protection hidden="1"/>
    </xf>
    <xf numFmtId="0" fontId="4" fillId="2" borderId="0" xfId="1" applyFont="1" applyFill="1" applyBorder="1" applyAlignment="1" applyProtection="1">
      <alignment wrapText="1"/>
      <protection hidden="1"/>
    </xf>
    <xf numFmtId="0" fontId="5" fillId="2" borderId="0" xfId="1" applyFont="1" applyFill="1" applyAlignment="1" applyProtection="1">
      <alignment horizontal="left" wrapText="1"/>
      <protection hidden="1"/>
    </xf>
    <xf numFmtId="0" fontId="5" fillId="2" borderId="0" xfId="1" applyFont="1" applyFill="1" applyBorder="1" applyAlignment="1" applyProtection="1">
      <alignment horizontal="left" wrapText="1"/>
      <protection hidden="1"/>
    </xf>
    <xf numFmtId="165" fontId="5" fillId="2" borderId="0" xfId="5" applyNumberFormat="1" applyFont="1" applyFill="1" applyBorder="1" applyAlignment="1" applyProtection="1">
      <alignment horizontal="right" wrapText="1"/>
      <protection hidden="1"/>
    </xf>
    <xf numFmtId="0" fontId="5" fillId="2" borderId="0" xfId="1" applyFont="1" applyFill="1" applyBorder="1" applyAlignment="1" applyProtection="1">
      <alignment horizontal="right" wrapText="1"/>
      <protection hidden="1"/>
    </xf>
    <xf numFmtId="165" fontId="5" fillId="2" borderId="0" xfId="1" applyNumberFormat="1" applyFont="1" applyFill="1" applyBorder="1" applyAlignment="1" applyProtection="1">
      <alignment horizontal="right" wrapText="1"/>
      <protection hidden="1"/>
    </xf>
    <xf numFmtId="0" fontId="4" fillId="2" borderId="3" xfId="1" applyFont="1" applyFill="1" applyBorder="1" applyAlignment="1" applyProtection="1">
      <alignment horizontal="left" wrapText="1"/>
      <protection hidden="1"/>
    </xf>
    <xf numFmtId="165" fontId="4" fillId="2" borderId="3" xfId="5" applyNumberFormat="1" applyFont="1" applyFill="1" applyBorder="1" applyAlignment="1" applyProtection="1">
      <alignment horizontal="right" wrapText="1"/>
      <protection hidden="1"/>
    </xf>
    <xf numFmtId="0" fontId="4" fillId="2" borderId="0" xfId="1" applyFont="1" applyFill="1" applyBorder="1" applyAlignment="1" applyProtection="1">
      <alignment horizontal="right" wrapText="1"/>
      <protection hidden="1"/>
    </xf>
    <xf numFmtId="165" fontId="4" fillId="2" borderId="0" xfId="1" applyNumberFormat="1" applyFont="1" applyFill="1" applyBorder="1" applyAlignment="1" applyProtection="1">
      <alignment horizontal="right" wrapText="1"/>
      <protection hidden="1"/>
    </xf>
    <xf numFmtId="0" fontId="5" fillId="2" borderId="7" xfId="1" applyFont="1" applyFill="1" applyBorder="1" applyAlignment="1" applyProtection="1">
      <alignment vertical="top" wrapText="1"/>
      <protection hidden="1"/>
    </xf>
    <xf numFmtId="0" fontId="4" fillId="2" borderId="0" xfId="1" applyFont="1" applyFill="1" applyBorder="1" applyAlignment="1" applyProtection="1">
      <alignment horizontal="left" wrapText="1"/>
      <protection hidden="1"/>
    </xf>
    <xf numFmtId="165" fontId="4" fillId="2" borderId="0" xfId="5" applyNumberFormat="1" applyFont="1" applyFill="1" applyBorder="1" applyAlignment="1" applyProtection="1">
      <alignment horizontal="right" wrapText="1"/>
      <protection hidden="1"/>
    </xf>
    <xf numFmtId="0" fontId="5" fillId="2" borderId="0" xfId="1" applyFont="1" applyFill="1" applyAlignment="1" applyProtection="1">
      <alignment horizontal="center" wrapText="1"/>
      <protection hidden="1"/>
    </xf>
    <xf numFmtId="165" fontId="5" fillId="2" borderId="0" xfId="1" applyNumberFormat="1" applyFont="1" applyFill="1" applyAlignment="1" applyProtection="1">
      <alignment horizontal="right" wrapText="1"/>
      <protection hidden="1"/>
    </xf>
    <xf numFmtId="0" fontId="4" fillId="2" borderId="4" xfId="1" applyFont="1" applyFill="1" applyBorder="1" applyAlignment="1" applyProtection="1">
      <alignment horizontal="left" wrapText="1"/>
      <protection hidden="1"/>
    </xf>
    <xf numFmtId="0" fontId="5" fillId="2" borderId="4" xfId="1" applyFont="1" applyFill="1" applyBorder="1" applyAlignment="1" applyProtection="1">
      <alignment horizontal="center" wrapText="1"/>
      <protection hidden="1"/>
    </xf>
    <xf numFmtId="165" fontId="4" fillId="2" borderId="5" xfId="1" applyNumberFormat="1" applyFont="1" applyFill="1" applyBorder="1" applyAlignment="1" applyProtection="1">
      <alignment horizontal="right" wrapText="1"/>
      <protection hidden="1"/>
    </xf>
    <xf numFmtId="0" fontId="3" fillId="2" borderId="0" xfId="1" applyFont="1" applyFill="1" applyProtection="1">
      <protection hidden="1"/>
    </xf>
    <xf numFmtId="0" fontId="26" fillId="3" borderId="0" xfId="1" applyFont="1" applyFill="1" applyBorder="1" applyAlignment="1" applyProtection="1">
      <alignment wrapText="1"/>
      <protection hidden="1"/>
    </xf>
    <xf numFmtId="0" fontId="18" fillId="3" borderId="0" xfId="1" applyFont="1" applyFill="1" applyBorder="1" applyAlignment="1" applyProtection="1">
      <alignment horizontal="center" wrapText="1"/>
      <protection hidden="1"/>
    </xf>
    <xf numFmtId="0" fontId="26" fillId="2" borderId="0" xfId="1" applyFont="1" applyFill="1" applyBorder="1" applyAlignment="1" applyProtection="1">
      <alignment horizontal="center" wrapText="1"/>
      <protection hidden="1"/>
    </xf>
    <xf numFmtId="0" fontId="18" fillId="3" borderId="0" xfId="1" applyNumberFormat="1" applyFont="1" applyFill="1" applyBorder="1" applyAlignment="1" applyProtection="1">
      <alignment horizontal="center" wrapText="1"/>
      <protection hidden="1"/>
    </xf>
    <xf numFmtId="0" fontId="5" fillId="2" borderId="0" xfId="1" applyFont="1" applyFill="1" applyBorder="1" applyAlignment="1" applyProtection="1">
      <alignment horizontal="center" wrapText="1"/>
      <protection hidden="1"/>
    </xf>
    <xf numFmtId="165" fontId="5" fillId="2" borderId="1" xfId="1" applyNumberFormat="1" applyFont="1" applyFill="1" applyBorder="1" applyAlignment="1" applyProtection="1">
      <alignment horizontal="right" wrapText="1"/>
      <protection hidden="1"/>
    </xf>
    <xf numFmtId="10" fontId="5" fillId="2" borderId="1" xfId="1" applyNumberFormat="1" applyFont="1" applyFill="1" applyBorder="1" applyAlignment="1" applyProtection="1">
      <alignment horizontal="right" wrapText="1"/>
      <protection hidden="1"/>
    </xf>
    <xf numFmtId="164" fontId="5" fillId="2" borderId="0" xfId="1" applyNumberFormat="1" applyFont="1" applyFill="1" applyAlignment="1" applyProtection="1">
      <alignment horizontal="right" wrapText="1"/>
      <protection hidden="1"/>
    </xf>
    <xf numFmtId="164" fontId="5" fillId="2" borderId="0" xfId="1" applyNumberFormat="1" applyFont="1" applyFill="1" applyBorder="1" applyAlignment="1" applyProtection="1">
      <alignment horizontal="right" wrapText="1"/>
      <protection hidden="1"/>
    </xf>
    <xf numFmtId="164" fontId="5" fillId="2" borderId="1" xfId="1" applyNumberFormat="1" applyFont="1" applyFill="1" applyBorder="1" applyAlignment="1" applyProtection="1">
      <alignment horizontal="right" wrapText="1"/>
      <protection hidden="1"/>
    </xf>
    <xf numFmtId="0" fontId="4" fillId="2" borderId="0" xfId="1" applyFont="1" applyFill="1" applyAlignment="1" applyProtection="1">
      <alignment wrapText="1"/>
      <protection hidden="1"/>
    </xf>
    <xf numFmtId="9" fontId="5" fillId="2" borderId="1" xfId="1" applyNumberFormat="1" applyFont="1" applyFill="1" applyBorder="1" applyAlignment="1" applyProtection="1">
      <alignment horizontal="right" wrapText="1"/>
      <protection hidden="1"/>
    </xf>
    <xf numFmtId="9" fontId="5" fillId="2" borderId="1" xfId="1" applyNumberFormat="1" applyFont="1" applyFill="1" applyBorder="1" applyAlignment="1" applyProtection="1">
      <alignment horizontal="center" wrapText="1"/>
      <protection hidden="1"/>
    </xf>
    <xf numFmtId="168" fontId="5" fillId="2" borderId="1" xfId="1" applyNumberFormat="1" applyFont="1" applyFill="1" applyBorder="1" applyAlignment="1" applyProtection="1">
      <alignment horizontal="right" wrapText="1"/>
      <protection hidden="1"/>
    </xf>
    <xf numFmtId="0" fontId="5" fillId="2" borderId="0" xfId="1" applyFont="1" applyFill="1" applyAlignment="1" applyProtection="1">
      <alignment horizontal="right" wrapText="1"/>
      <protection hidden="1"/>
    </xf>
    <xf numFmtId="0" fontId="5" fillId="2" borderId="4" xfId="1" applyFont="1" applyFill="1" applyBorder="1" applyAlignment="1" applyProtection="1">
      <alignment wrapText="1"/>
      <protection hidden="1"/>
    </xf>
    <xf numFmtId="165" fontId="5" fillId="2" borderId="4" xfId="1" applyNumberFormat="1" applyFont="1" applyFill="1" applyBorder="1" applyAlignment="1" applyProtection="1">
      <alignment horizontal="right" wrapText="1"/>
      <protection hidden="1"/>
    </xf>
    <xf numFmtId="0" fontId="5" fillId="2" borderId="0" xfId="1" applyFont="1" applyFill="1" applyAlignment="1" applyProtection="1">
      <alignment horizontal="left"/>
      <protection hidden="1"/>
    </xf>
    <xf numFmtId="0" fontId="26" fillId="3" borderId="0" xfId="1" applyFont="1" applyFill="1" applyAlignment="1" applyProtection="1">
      <alignment wrapText="1"/>
      <protection hidden="1"/>
    </xf>
    <xf numFmtId="0" fontId="21" fillId="3" borderId="0" xfId="1" applyFont="1" applyFill="1" applyAlignment="1" applyProtection="1">
      <alignment wrapText="1"/>
      <protection hidden="1"/>
    </xf>
    <xf numFmtId="165" fontId="5" fillId="2" borderId="0" xfId="1" applyNumberFormat="1" applyFont="1" applyFill="1" applyAlignment="1" applyProtection="1">
      <alignment horizontal="center" wrapText="1"/>
      <protection hidden="1"/>
    </xf>
    <xf numFmtId="10" fontId="5" fillId="2" borderId="1" xfId="4" applyNumberFormat="1" applyFont="1" applyFill="1" applyBorder="1" applyAlignment="1" applyProtection="1">
      <alignment horizontal="right" wrapText="1"/>
      <protection hidden="1"/>
    </xf>
    <xf numFmtId="165" fontId="5" fillId="2" borderId="3" xfId="1" applyNumberFormat="1" applyFont="1" applyFill="1" applyBorder="1" applyAlignment="1" applyProtection="1">
      <alignment wrapText="1"/>
      <protection hidden="1"/>
    </xf>
    <xf numFmtId="0" fontId="5" fillId="2" borderId="3" xfId="1" applyFont="1" applyFill="1" applyBorder="1" applyAlignment="1" applyProtection="1">
      <alignment wrapText="1"/>
      <protection hidden="1"/>
    </xf>
    <xf numFmtId="0" fontId="5" fillId="2" borderId="0" xfId="1" applyFont="1" applyFill="1" applyProtection="1">
      <protection hidden="1"/>
    </xf>
    <xf numFmtId="0" fontId="26" fillId="2" borderId="0" xfId="1" applyFont="1" applyFill="1" applyAlignment="1" applyProtection="1">
      <alignment horizontal="center" wrapText="1"/>
      <protection hidden="1"/>
    </xf>
    <xf numFmtId="0" fontId="18" fillId="2" borderId="0" xfId="1" applyNumberFormat="1" applyFont="1" applyFill="1" applyAlignment="1" applyProtection="1">
      <alignment horizontal="center" wrapText="1"/>
      <protection hidden="1"/>
    </xf>
    <xf numFmtId="0" fontId="18" fillId="2" borderId="0" xfId="1" applyFont="1" applyFill="1" applyAlignment="1" applyProtection="1">
      <alignment horizontal="center" wrapText="1"/>
      <protection hidden="1"/>
    </xf>
    <xf numFmtId="9" fontId="5" fillId="2" borderId="0" xfId="1" applyNumberFormat="1" applyFont="1" applyFill="1" applyAlignment="1" applyProtection="1">
      <alignment horizontal="right" wrapText="1"/>
      <protection hidden="1"/>
    </xf>
    <xf numFmtId="9" fontId="5" fillId="2" borderId="0" xfId="4" applyFont="1" applyFill="1" applyAlignment="1" applyProtection="1">
      <alignment horizontal="right" wrapText="1"/>
      <protection hidden="1"/>
    </xf>
    <xf numFmtId="9" fontId="5" fillId="2" borderId="0" xfId="4" applyFont="1" applyFill="1" applyBorder="1" applyAlignment="1" applyProtection="1">
      <alignment horizontal="right" wrapText="1"/>
      <protection hidden="1"/>
    </xf>
    <xf numFmtId="9" fontId="5" fillId="2" borderId="0" xfId="1" applyNumberFormat="1" applyFont="1" applyFill="1" applyBorder="1" applyAlignment="1" applyProtection="1">
      <alignment horizontal="right" wrapText="1"/>
      <protection hidden="1"/>
    </xf>
    <xf numFmtId="165" fontId="5" fillId="2" borderId="0" xfId="0" applyNumberFormat="1" applyFont="1" applyFill="1" applyAlignment="1" applyProtection="1">
      <alignment horizontal="right" vertical="top" wrapText="1"/>
      <protection hidden="1"/>
    </xf>
    <xf numFmtId="0" fontId="5" fillId="2" borderId="4" xfId="1" applyFont="1" applyFill="1" applyBorder="1" applyAlignment="1" applyProtection="1">
      <alignment horizontal="center" vertical="top" wrapText="1"/>
      <protection hidden="1"/>
    </xf>
    <xf numFmtId="0" fontId="5" fillId="2" borderId="0" xfId="0" applyFont="1" applyFill="1" applyAlignment="1" applyProtection="1">
      <alignment horizontal="left" vertical="top" wrapText="1"/>
      <protection hidden="1"/>
    </xf>
    <xf numFmtId="0" fontId="21" fillId="3" borderId="0" xfId="1" applyFont="1" applyFill="1" applyAlignment="1" applyProtection="1">
      <alignment horizontal="center" wrapText="1"/>
      <protection hidden="1"/>
    </xf>
    <xf numFmtId="0" fontId="21" fillId="2" borderId="0" xfId="1" applyFont="1" applyFill="1" applyAlignment="1" applyProtection="1">
      <alignment horizontal="center" wrapText="1"/>
      <protection hidden="1"/>
    </xf>
    <xf numFmtId="0" fontId="5" fillId="2" borderId="4" xfId="1" applyFont="1" applyFill="1" applyBorder="1" applyAlignment="1" applyProtection="1">
      <alignment horizontal="left" wrapText="1"/>
      <protection hidden="1"/>
    </xf>
    <xf numFmtId="0" fontId="5" fillId="2" borderId="4" xfId="1" applyFont="1" applyFill="1" applyBorder="1" applyAlignment="1" applyProtection="1">
      <alignment horizontal="right" wrapText="1"/>
      <protection hidden="1"/>
    </xf>
    <xf numFmtId="0" fontId="5" fillId="2" borderId="0" xfId="1" applyFont="1" applyFill="1" applyAlignment="1" applyProtection="1">
      <protection hidden="1"/>
    </xf>
    <xf numFmtId="0" fontId="36" fillId="2" borderId="0" xfId="1" applyFont="1" applyFill="1" applyProtection="1">
      <protection hidden="1"/>
    </xf>
    <xf numFmtId="0" fontId="14" fillId="2" borderId="0" xfId="1" applyFont="1" applyFill="1" applyAlignment="1" applyProtection="1">
      <alignment horizontal="justify"/>
      <protection hidden="1"/>
    </xf>
    <xf numFmtId="0" fontId="2" fillId="2" borderId="0" xfId="1" applyFont="1" applyFill="1" applyAlignment="1" applyProtection="1">
      <alignment horizontal="justify" wrapText="1"/>
      <protection hidden="1"/>
    </xf>
    <xf numFmtId="0" fontId="2" fillId="2" borderId="0" xfId="1" applyFont="1" applyFill="1" applyAlignment="1" applyProtection="1">
      <alignment horizontal="justify"/>
      <protection hidden="1"/>
    </xf>
    <xf numFmtId="0" fontId="24" fillId="2" borderId="0" xfId="1" applyFont="1" applyFill="1" applyAlignment="1" applyProtection="1">
      <alignment horizontal="justify"/>
      <protection hidden="1"/>
    </xf>
    <xf numFmtId="0" fontId="40" fillId="2" borderId="0" xfId="2" applyFont="1" applyFill="1" applyBorder="1" applyAlignment="1" applyProtection="1">
      <protection hidden="1"/>
    </xf>
    <xf numFmtId="0" fontId="18" fillId="3" borderId="0" xfId="1" applyFont="1" applyFill="1" applyAlignment="1" applyProtection="1">
      <alignment horizontal="center"/>
      <protection hidden="1"/>
    </xf>
    <xf numFmtId="0" fontId="18" fillId="3" borderId="0" xfId="1" applyNumberFormat="1" applyFont="1" applyFill="1" applyAlignment="1" applyProtection="1">
      <alignment horizontal="center"/>
      <protection hidden="1"/>
    </xf>
    <xf numFmtId="0" fontId="5" fillId="2" borderId="0" xfId="1" applyFont="1" applyFill="1" applyAlignment="1" applyProtection="1">
      <alignment horizontal="center"/>
      <protection hidden="1"/>
    </xf>
    <xf numFmtId="2" fontId="5" fillId="2" borderId="0" xfId="1" applyNumberFormat="1" applyFont="1" applyFill="1" applyAlignment="1" applyProtection="1">
      <alignment horizontal="right"/>
      <protection hidden="1"/>
    </xf>
    <xf numFmtId="0" fontId="5" fillId="2" borderId="0" xfId="0" applyFont="1" applyFill="1" applyAlignment="1" applyProtection="1">
      <alignment horizontal="right"/>
      <protection hidden="1"/>
    </xf>
    <xf numFmtId="0" fontId="5" fillId="2" borderId="1" xfId="1" applyFont="1" applyFill="1" applyBorder="1" applyAlignment="1" applyProtection="1">
      <alignment horizontal="left" wrapText="1" indent="1"/>
      <protection hidden="1"/>
    </xf>
    <xf numFmtId="0" fontId="5" fillId="2" borderId="1" xfId="1" applyFont="1" applyFill="1" applyBorder="1" applyAlignment="1" applyProtection="1">
      <alignment horizontal="center"/>
      <protection hidden="1"/>
    </xf>
    <xf numFmtId="2" fontId="5" fillId="2" borderId="1" xfId="1" applyNumberFormat="1" applyFont="1" applyFill="1" applyBorder="1" applyAlignment="1" applyProtection="1">
      <alignment horizontal="right"/>
      <protection hidden="1"/>
    </xf>
    <xf numFmtId="0" fontId="5" fillId="2" borderId="0" xfId="0" applyFont="1" applyFill="1" applyBorder="1" applyAlignment="1" applyProtection="1">
      <alignment horizontal="right"/>
      <protection hidden="1"/>
    </xf>
    <xf numFmtId="0" fontId="5" fillId="2" borderId="0" xfId="1" applyFont="1" applyFill="1" applyAlignment="1" applyProtection="1">
      <alignment horizontal="right"/>
      <protection hidden="1"/>
    </xf>
    <xf numFmtId="0" fontId="4" fillId="2" borderId="8" xfId="1" applyFont="1" applyFill="1" applyBorder="1" applyAlignment="1" applyProtection="1">
      <alignment vertical="top" wrapText="1"/>
      <protection hidden="1"/>
    </xf>
    <xf numFmtId="0" fontId="5" fillId="2" borderId="6" xfId="1" applyFont="1" applyFill="1" applyBorder="1" applyAlignment="1" applyProtection="1">
      <alignment vertical="top" wrapText="1"/>
      <protection hidden="1"/>
    </xf>
    <xf numFmtId="0" fontId="5" fillId="2" borderId="6" xfId="1" applyFont="1" applyFill="1" applyBorder="1" applyAlignment="1" applyProtection="1">
      <alignment horizontal="center" vertical="top" wrapText="1"/>
      <protection hidden="1"/>
    </xf>
    <xf numFmtId="0" fontId="5" fillId="2" borderId="3" xfId="0" applyFont="1" applyFill="1" applyBorder="1" applyAlignment="1" applyProtection="1">
      <alignment horizontal="right"/>
      <protection hidden="1"/>
    </xf>
    <xf numFmtId="0" fontId="5" fillId="2" borderId="0" xfId="1" applyFont="1" applyFill="1" applyAlignment="1" applyProtection="1">
      <alignment horizontal="center" vertical="top"/>
      <protection hidden="1"/>
    </xf>
    <xf numFmtId="0" fontId="5" fillId="2" borderId="0" xfId="1" applyFont="1" applyFill="1" applyBorder="1" applyAlignment="1" applyProtection="1">
      <alignment horizontal="left" wrapText="1" indent="1"/>
      <protection hidden="1"/>
    </xf>
    <xf numFmtId="0" fontId="5" fillId="2" borderId="1" xfId="1" applyFont="1" applyFill="1" applyBorder="1" applyAlignment="1" applyProtection="1">
      <alignment horizontal="center" wrapText="1"/>
      <protection hidden="1"/>
    </xf>
    <xf numFmtId="0" fontId="5" fillId="2" borderId="3" xfId="1" applyFont="1" applyFill="1" applyBorder="1" applyProtection="1">
      <protection hidden="1"/>
    </xf>
    <xf numFmtId="3" fontId="5" fillId="2" borderId="0" xfId="1" applyNumberFormat="1" applyFont="1" applyFill="1" applyAlignment="1" applyProtection="1">
      <alignment horizontal="right"/>
      <protection hidden="1"/>
    </xf>
    <xf numFmtId="3" fontId="5" fillId="2" borderId="3" xfId="0" applyNumberFormat="1" applyFont="1" applyFill="1" applyBorder="1" applyAlignment="1" applyProtection="1">
      <alignment horizontal="right"/>
      <protection hidden="1"/>
    </xf>
    <xf numFmtId="3" fontId="5" fillId="2" borderId="0" xfId="0" applyNumberFormat="1" applyFont="1" applyFill="1" applyAlignment="1" applyProtection="1">
      <alignment horizontal="right"/>
      <protection hidden="1"/>
    </xf>
    <xf numFmtId="0" fontId="5" fillId="2" borderId="0" xfId="1" applyFont="1" applyFill="1" applyBorder="1" applyProtection="1">
      <protection hidden="1"/>
    </xf>
    <xf numFmtId="3" fontId="5" fillId="2" borderId="1" xfId="1" applyNumberFormat="1" applyFont="1" applyFill="1" applyBorder="1" applyAlignment="1" applyProtection="1">
      <alignment horizontal="right"/>
      <protection hidden="1"/>
    </xf>
    <xf numFmtId="164" fontId="5" fillId="2" borderId="0" xfId="1" applyNumberFormat="1" applyFont="1" applyFill="1" applyAlignment="1" applyProtection="1">
      <alignment horizontal="right"/>
      <protection hidden="1"/>
    </xf>
    <xf numFmtId="167" fontId="5" fillId="2" borderId="0" xfId="1" applyNumberFormat="1" applyFont="1" applyFill="1" applyAlignment="1" applyProtection="1">
      <alignment horizontal="right"/>
      <protection hidden="1"/>
    </xf>
    <xf numFmtId="167" fontId="5" fillId="2" borderId="1" xfId="1" applyNumberFormat="1" applyFont="1" applyFill="1" applyBorder="1" applyAlignment="1" applyProtection="1">
      <alignment horizontal="right"/>
      <protection hidden="1"/>
    </xf>
    <xf numFmtId="4" fontId="5" fillId="2" borderId="1" xfId="1" applyNumberFormat="1" applyFont="1" applyFill="1" applyBorder="1" applyAlignment="1" applyProtection="1">
      <alignment horizontal="right"/>
      <protection hidden="1"/>
    </xf>
    <xf numFmtId="0" fontId="5" fillId="2" borderId="0" xfId="1" applyFont="1" applyFill="1" applyBorder="1" applyAlignment="1" applyProtection="1">
      <alignment horizontal="center"/>
      <protection hidden="1"/>
    </xf>
    <xf numFmtId="0" fontId="5" fillId="2" borderId="3" xfId="1" applyFont="1" applyFill="1" applyBorder="1" applyAlignment="1" applyProtection="1">
      <alignment horizontal="right"/>
      <protection hidden="1"/>
    </xf>
    <xf numFmtId="168" fontId="5" fillId="2" borderId="0" xfId="1" applyNumberFormat="1" applyFont="1" applyFill="1" applyAlignment="1" applyProtection="1">
      <alignment horizontal="right"/>
      <protection hidden="1"/>
    </xf>
    <xf numFmtId="0" fontId="5" fillId="2" borderId="0" xfId="1" applyFont="1" applyFill="1" applyBorder="1" applyAlignment="1" applyProtection="1">
      <alignment horizontal="left" wrapText="1" indent="2"/>
      <protection hidden="1"/>
    </xf>
    <xf numFmtId="0" fontId="5" fillId="0" borderId="0" xfId="1" applyFont="1" applyAlignment="1" applyProtection="1">
      <alignment horizontal="left" wrapText="1" indent="3"/>
      <protection hidden="1"/>
    </xf>
    <xf numFmtId="0" fontId="5" fillId="2" borderId="0" xfId="1" applyFont="1" applyFill="1" applyAlignment="1" applyProtection="1">
      <alignment horizontal="left" wrapText="1" indent="3"/>
      <protection hidden="1"/>
    </xf>
    <xf numFmtId="0" fontId="5" fillId="2" borderId="4" xfId="1" applyFont="1" applyFill="1" applyBorder="1" applyAlignment="1" applyProtection="1">
      <alignment horizontal="center"/>
      <protection hidden="1"/>
    </xf>
    <xf numFmtId="9" fontId="5" fillId="2" borderId="4" xfId="4" applyNumberFormat="1" applyFont="1" applyFill="1" applyBorder="1" applyAlignment="1" applyProtection="1">
      <alignment horizontal="right"/>
      <protection hidden="1"/>
    </xf>
    <xf numFmtId="9" fontId="5" fillId="2" borderId="4" xfId="0" applyNumberFormat="1" applyFont="1" applyFill="1" applyBorder="1" applyAlignment="1" applyProtection="1">
      <alignment horizontal="right"/>
      <protection hidden="1"/>
    </xf>
    <xf numFmtId="0" fontId="14" fillId="2" borderId="0" xfId="1" applyFont="1" applyFill="1" applyAlignment="1" applyProtection="1">
      <alignment horizontal="left" wrapText="1"/>
      <protection hidden="1"/>
    </xf>
    <xf numFmtId="0" fontId="0" fillId="2" borderId="0" xfId="1" applyFont="1" applyFill="1" applyAlignment="1" applyProtection="1">
      <alignment wrapText="1"/>
      <protection hidden="1"/>
    </xf>
    <xf numFmtId="167" fontId="5" fillId="2" borderId="0" xfId="1" applyNumberFormat="1" applyFont="1" applyFill="1" applyAlignment="1" applyProtection="1">
      <alignment horizontal="right" wrapText="1"/>
      <protection hidden="1"/>
    </xf>
    <xf numFmtId="167" fontId="5" fillId="2" borderId="0" xfId="4" applyNumberFormat="1" applyFont="1" applyFill="1" applyAlignment="1" applyProtection="1">
      <alignment horizontal="right"/>
      <protection hidden="1"/>
    </xf>
    <xf numFmtId="167" fontId="5" fillId="2" borderId="1" xfId="1" applyNumberFormat="1" applyFont="1" applyFill="1" applyBorder="1" applyAlignment="1" applyProtection="1">
      <alignment horizontal="right" wrapText="1"/>
      <protection hidden="1"/>
    </xf>
    <xf numFmtId="0" fontId="5" fillId="2" borderId="4" xfId="1" applyFont="1" applyFill="1" applyBorder="1" applyAlignment="1" applyProtection="1">
      <alignment vertical="top" wrapText="1"/>
      <protection hidden="1"/>
    </xf>
    <xf numFmtId="167" fontId="5" fillId="2" borderId="3" xfId="1" applyNumberFormat="1" applyFont="1" applyFill="1" applyBorder="1" applyAlignment="1" applyProtection="1">
      <alignment horizontal="right"/>
      <protection hidden="1"/>
    </xf>
    <xf numFmtId="2" fontId="5" fillId="2" borderId="0" xfId="1" applyNumberFormat="1" applyFont="1" applyFill="1" applyAlignment="1" applyProtection="1">
      <alignment horizontal="right" wrapText="1"/>
      <protection hidden="1"/>
    </xf>
    <xf numFmtId="2" fontId="5" fillId="2" borderId="1" xfId="1" applyNumberFormat="1" applyFont="1" applyFill="1" applyBorder="1" applyAlignment="1" applyProtection="1">
      <alignment horizontal="right" wrapText="1"/>
      <protection hidden="1"/>
    </xf>
    <xf numFmtId="2" fontId="5" fillId="2" borderId="0" xfId="1" applyNumberFormat="1" applyFont="1" applyFill="1" applyBorder="1" applyAlignment="1" applyProtection="1">
      <alignment horizontal="right"/>
      <protection hidden="1"/>
    </xf>
    <xf numFmtId="2" fontId="5" fillId="2" borderId="0" xfId="1" applyNumberFormat="1" applyFont="1" applyFill="1" applyBorder="1" applyAlignment="1" applyProtection="1">
      <alignment horizontal="right" wrapText="1"/>
      <protection hidden="1"/>
    </xf>
    <xf numFmtId="2" fontId="5" fillId="2" borderId="4" xfId="1" applyNumberFormat="1" applyFont="1" applyFill="1" applyBorder="1" applyAlignment="1" applyProtection="1">
      <alignment horizontal="right" wrapText="1"/>
      <protection hidden="1"/>
    </xf>
    <xf numFmtId="2" fontId="5" fillId="2" borderId="4" xfId="1" applyNumberFormat="1" applyFont="1" applyFill="1" applyBorder="1" applyAlignment="1" applyProtection="1">
      <alignment horizontal="right"/>
      <protection hidden="1"/>
    </xf>
    <xf numFmtId="0" fontId="5" fillId="2" borderId="4" xfId="0" applyFont="1" applyFill="1" applyBorder="1" applyAlignment="1" applyProtection="1">
      <alignment horizontal="right"/>
      <protection hidden="1"/>
    </xf>
    <xf numFmtId="0" fontId="14" fillId="0" borderId="0" xfId="1" applyFont="1" applyAlignment="1" applyProtection="1">
      <alignment horizontal="left"/>
      <protection hidden="1"/>
    </xf>
    <xf numFmtId="0" fontId="4" fillId="2" borderId="0" xfId="1" applyFont="1" applyFill="1" applyAlignment="1" applyProtection="1">
      <alignment horizontal="right" wrapText="1"/>
      <protection hidden="1"/>
    </xf>
    <xf numFmtId="167" fontId="5" fillId="2" borderId="0" xfId="0" applyNumberFormat="1" applyFont="1" applyFill="1" applyAlignment="1" applyProtection="1">
      <alignment horizontal="right" wrapText="1"/>
      <protection hidden="1"/>
    </xf>
    <xf numFmtId="167" fontId="5" fillId="2" borderId="0" xfId="1" applyNumberFormat="1" applyFont="1" applyFill="1" applyBorder="1" applyAlignment="1" applyProtection="1">
      <alignment horizontal="right" wrapText="1"/>
      <protection hidden="1"/>
    </xf>
    <xf numFmtId="167" fontId="5" fillId="2" borderId="0" xfId="0" applyNumberFormat="1" applyFont="1" applyFill="1" applyBorder="1" applyAlignment="1" applyProtection="1">
      <alignment horizontal="right" wrapText="1"/>
      <protection hidden="1"/>
    </xf>
    <xf numFmtId="0" fontId="4" fillId="2" borderId="3" xfId="1" applyFont="1" applyFill="1" applyBorder="1" applyAlignment="1" applyProtection="1">
      <alignment horizontal="right" wrapText="1"/>
      <protection hidden="1"/>
    </xf>
    <xf numFmtId="174" fontId="5" fillId="2" borderId="0" xfId="1" applyNumberFormat="1" applyFont="1" applyFill="1" applyAlignment="1" applyProtection="1">
      <alignment horizontal="right" wrapText="1"/>
      <protection hidden="1"/>
    </xf>
    <xf numFmtId="0" fontId="5" fillId="2" borderId="4" xfId="1" applyFont="1" applyFill="1" applyBorder="1" applyAlignment="1" applyProtection="1">
      <alignment horizontal="left" wrapText="1" indent="1"/>
      <protection hidden="1"/>
    </xf>
    <xf numFmtId="164" fontId="5" fillId="2" borderId="4" xfId="1" applyNumberFormat="1" applyFont="1" applyFill="1" applyBorder="1" applyAlignment="1" applyProtection="1">
      <alignment horizontal="right" wrapText="1"/>
      <protection hidden="1"/>
    </xf>
    <xf numFmtId="0" fontId="5" fillId="2" borderId="4" xfId="0" applyFont="1" applyFill="1" applyBorder="1" applyAlignment="1" applyProtection="1">
      <alignment horizontal="right" wrapText="1"/>
      <protection hidden="1"/>
    </xf>
    <xf numFmtId="0" fontId="19" fillId="2" borderId="0" xfId="1" applyFont="1" applyFill="1" applyAlignment="1" applyProtection="1">
      <alignment horizontal="justify"/>
      <protection hidden="1"/>
    </xf>
    <xf numFmtId="0" fontId="2" fillId="0" borderId="0" xfId="1" applyFont="1" applyAlignment="1" applyProtection="1">
      <alignment horizontal="justify"/>
      <protection hidden="1"/>
    </xf>
    <xf numFmtId="0" fontId="39" fillId="2" borderId="0" xfId="1" applyFont="1" applyFill="1" applyProtection="1">
      <protection hidden="1"/>
    </xf>
    <xf numFmtId="0" fontId="3" fillId="2" borderId="0" xfId="1" applyFont="1" applyFill="1" applyBorder="1" applyAlignment="1" applyProtection="1">
      <protection hidden="1"/>
    </xf>
    <xf numFmtId="0" fontId="4" fillId="2" borderId="0" xfId="1" applyFont="1" applyFill="1" applyBorder="1" applyAlignment="1" applyProtection="1">
      <alignment horizontal="center" wrapText="1"/>
      <protection hidden="1"/>
    </xf>
    <xf numFmtId="165" fontId="5" fillId="2" borderId="0" xfId="5" applyNumberFormat="1" applyFont="1" applyFill="1" applyBorder="1" applyAlignment="1" applyProtection="1">
      <alignment horizontal="center" wrapText="1"/>
      <protection hidden="1"/>
    </xf>
    <xf numFmtId="166" fontId="4" fillId="2" borderId="0" xfId="5" applyNumberFormat="1" applyFont="1" applyFill="1" applyBorder="1" applyAlignment="1" applyProtection="1">
      <alignment horizontal="center" wrapText="1"/>
      <protection hidden="1"/>
    </xf>
    <xf numFmtId="166" fontId="5" fillId="2" borderId="0" xfId="5" applyNumberFormat="1" applyFont="1" applyFill="1" applyBorder="1" applyAlignment="1" applyProtection="1">
      <alignment horizontal="center" wrapText="1"/>
      <protection hidden="1"/>
    </xf>
    <xf numFmtId="165" fontId="4" fillId="2" borderId="0" xfId="5" applyNumberFormat="1" applyFont="1" applyFill="1" applyBorder="1" applyAlignment="1" applyProtection="1">
      <alignment horizontal="center" wrapText="1"/>
      <protection hidden="1"/>
    </xf>
    <xf numFmtId="0" fontId="5" fillId="2" borderId="3" xfId="1" applyFont="1" applyFill="1" applyBorder="1" applyAlignment="1" applyProtection="1">
      <alignment vertical="top" wrapText="1"/>
      <protection hidden="1"/>
    </xf>
    <xf numFmtId="165" fontId="5" fillId="2" borderId="0" xfId="1" applyNumberFormat="1" applyFont="1" applyFill="1" applyAlignment="1" applyProtection="1">
      <alignment wrapText="1"/>
      <protection hidden="1"/>
    </xf>
    <xf numFmtId="0" fontId="4" fillId="2" borderId="0" xfId="1" applyFont="1" applyFill="1" applyAlignment="1" applyProtection="1">
      <alignment horizontal="center" wrapText="1"/>
      <protection hidden="1"/>
    </xf>
    <xf numFmtId="2" fontId="5" fillId="2" borderId="4" xfId="1" applyNumberFormat="1" applyFont="1" applyFill="1" applyBorder="1" applyAlignment="1" applyProtection="1">
      <alignment wrapText="1"/>
      <protection hidden="1"/>
    </xf>
    <xf numFmtId="4" fontId="5" fillId="2" borderId="0" xfId="1" applyNumberFormat="1" applyFont="1" applyFill="1" applyBorder="1" applyAlignment="1" applyProtection="1">
      <alignment horizontal="right" wrapText="1"/>
      <protection hidden="1"/>
    </xf>
    <xf numFmtId="2" fontId="5" fillId="2" borderId="0" xfId="1" applyNumberFormat="1" applyFont="1" applyFill="1" applyBorder="1" applyAlignment="1" applyProtection="1">
      <alignment horizontal="center" wrapText="1"/>
      <protection hidden="1"/>
    </xf>
    <xf numFmtId="4" fontId="5" fillId="2" borderId="4" xfId="1" applyNumberFormat="1" applyFont="1" applyFill="1" applyBorder="1" applyAlignment="1" applyProtection="1">
      <alignment horizontal="right" wrapText="1"/>
      <protection hidden="1"/>
    </xf>
    <xf numFmtId="0" fontId="21" fillId="3" borderId="0" xfId="1" applyFont="1" applyFill="1" applyProtection="1">
      <protection hidden="1"/>
    </xf>
    <xf numFmtId="0" fontId="18" fillId="3" borderId="0" xfId="1" applyFont="1" applyFill="1" applyProtection="1">
      <protection hidden="1"/>
    </xf>
    <xf numFmtId="170" fontId="5" fillId="2" borderId="0" xfId="1" applyNumberFormat="1" applyFont="1" applyFill="1" applyBorder="1" applyAlignment="1" applyProtection="1">
      <alignment horizontal="right" wrapText="1"/>
      <protection hidden="1"/>
    </xf>
    <xf numFmtId="0" fontId="4" fillId="2" borderId="1" xfId="1" applyFont="1" applyFill="1" applyBorder="1" applyAlignment="1" applyProtection="1">
      <alignment horizontal="left" wrapText="1" indent="1"/>
      <protection hidden="1"/>
    </xf>
    <xf numFmtId="170" fontId="4" fillId="2" borderId="1" xfId="1" applyNumberFormat="1" applyFont="1" applyFill="1" applyBorder="1" applyAlignment="1" applyProtection="1">
      <alignment horizontal="right" wrapText="1"/>
      <protection hidden="1"/>
    </xf>
    <xf numFmtId="170" fontId="4" fillId="2" borderId="0" xfId="1" applyNumberFormat="1" applyFont="1" applyFill="1" applyBorder="1" applyAlignment="1" applyProtection="1">
      <alignment horizontal="right" wrapText="1"/>
      <protection hidden="1"/>
    </xf>
    <xf numFmtId="0" fontId="4" fillId="2" borderId="4" xfId="1" applyFont="1" applyFill="1" applyBorder="1" applyAlignment="1" applyProtection="1">
      <alignment horizontal="left" wrapText="1" indent="1"/>
      <protection hidden="1"/>
    </xf>
    <xf numFmtId="170" fontId="4" fillId="2" borderId="4" xfId="1" applyNumberFormat="1" applyFont="1" applyFill="1" applyBorder="1" applyAlignment="1" applyProtection="1">
      <alignment horizontal="right" wrapText="1"/>
      <protection hidden="1"/>
    </xf>
    <xf numFmtId="2" fontId="4" fillId="2" borderId="1" xfId="1" applyNumberFormat="1" applyFont="1" applyFill="1" applyBorder="1" applyAlignment="1" applyProtection="1">
      <alignment horizontal="right" wrapText="1"/>
      <protection hidden="1"/>
    </xf>
    <xf numFmtId="2" fontId="4" fillId="2" borderId="0" xfId="1" applyNumberFormat="1" applyFont="1" applyFill="1" applyBorder="1" applyAlignment="1" applyProtection="1">
      <alignment horizontal="right" wrapText="1"/>
      <protection hidden="1"/>
    </xf>
    <xf numFmtId="2" fontId="4" fillId="2" borderId="4" xfId="1" applyNumberFormat="1" applyFont="1" applyFill="1" applyBorder="1" applyAlignment="1" applyProtection="1">
      <alignment horizontal="right" wrapText="1"/>
      <protection hidden="1"/>
    </xf>
    <xf numFmtId="0" fontId="42" fillId="2" borderId="0" xfId="1" applyFont="1" applyFill="1" applyBorder="1" applyAlignment="1" applyProtection="1">
      <alignment horizontal="left"/>
      <protection hidden="1"/>
    </xf>
    <xf numFmtId="0" fontId="5" fillId="2" borderId="0" xfId="1" applyFont="1" applyFill="1" applyBorder="1" applyAlignment="1" applyProtection="1">
      <alignment horizontal="left" vertical="top" wrapText="1" indent="1"/>
      <protection hidden="1"/>
    </xf>
    <xf numFmtId="165" fontId="5" fillId="2" borderId="0" xfId="1" applyNumberFormat="1" applyFont="1" applyFill="1" applyBorder="1" applyAlignment="1" applyProtection="1">
      <alignment horizontal="right" vertical="top" wrapText="1"/>
      <protection hidden="1"/>
    </xf>
    <xf numFmtId="0" fontId="14" fillId="2" borderId="0" xfId="1" applyFont="1" applyFill="1" applyAlignment="1" applyProtection="1">
      <alignment horizontal="left"/>
      <protection hidden="1"/>
    </xf>
    <xf numFmtId="0" fontId="3" fillId="2" borderId="0" xfId="1" applyFont="1" applyFill="1" applyBorder="1" applyAlignment="1" applyProtection="1">
      <alignment vertical="top" wrapText="1"/>
      <protection hidden="1"/>
    </xf>
    <xf numFmtId="0" fontId="5" fillId="2" borderId="3" xfId="1" applyFont="1" applyFill="1" applyBorder="1" applyAlignment="1" applyProtection="1">
      <alignment horizontal="right" wrapText="1"/>
      <protection hidden="1"/>
    </xf>
    <xf numFmtId="0" fontId="5" fillId="2" borderId="1" xfId="1" applyFont="1" applyFill="1" applyBorder="1" applyAlignment="1" applyProtection="1">
      <alignment horizontal="right" wrapText="1"/>
      <protection hidden="1"/>
    </xf>
    <xf numFmtId="0" fontId="5" fillId="2" borderId="3" xfId="1" applyFont="1" applyFill="1" applyBorder="1" applyAlignment="1" applyProtection="1">
      <alignment horizontal="left" wrapText="1" indent="1"/>
      <protection hidden="1"/>
    </xf>
    <xf numFmtId="0" fontId="4" fillId="2" borderId="1" xfId="1" applyFont="1" applyFill="1" applyBorder="1" applyAlignment="1" applyProtection="1">
      <alignment horizontal="left" wrapText="1" indent="2"/>
      <protection hidden="1"/>
    </xf>
    <xf numFmtId="0" fontId="5" fillId="2" borderId="0" xfId="1" applyFont="1" applyFill="1" applyAlignment="1" applyProtection="1">
      <alignment horizontal="left" wrapText="1" indent="2"/>
      <protection hidden="1"/>
    </xf>
    <xf numFmtId="0" fontId="4" fillId="2" borderId="4" xfId="1" applyFont="1" applyFill="1" applyBorder="1" applyAlignment="1" applyProtection="1">
      <alignment horizontal="left" wrapText="1" indent="2"/>
      <protection hidden="1"/>
    </xf>
    <xf numFmtId="0" fontId="4" fillId="2" borderId="4" xfId="1" applyFont="1" applyFill="1" applyBorder="1" applyAlignment="1" applyProtection="1">
      <alignment horizontal="right" wrapText="1"/>
      <protection hidden="1"/>
    </xf>
    <xf numFmtId="165" fontId="4" fillId="2" borderId="4" xfId="1" applyNumberFormat="1" applyFont="1" applyFill="1" applyBorder="1" applyAlignment="1" applyProtection="1">
      <alignment horizontal="right" wrapText="1"/>
      <protection hidden="1"/>
    </xf>
    <xf numFmtId="0" fontId="18" fillId="3" borderId="0" xfId="1" applyFont="1" applyFill="1" applyAlignment="1" applyProtection="1">
      <alignment horizontal="justify" vertical="top" wrapText="1"/>
      <protection hidden="1"/>
    </xf>
    <xf numFmtId="3" fontId="5" fillId="2" borderId="0" xfId="1" applyNumberFormat="1" applyFont="1" applyFill="1" applyAlignment="1" applyProtection="1">
      <alignment horizontal="right" wrapText="1"/>
      <protection hidden="1"/>
    </xf>
    <xf numFmtId="0" fontId="5" fillId="2" borderId="0" xfId="1" applyFont="1" applyFill="1" applyAlignment="1" applyProtection="1">
      <alignment horizontal="left" vertical="top" wrapText="1" indent="1"/>
      <protection hidden="1"/>
    </xf>
    <xf numFmtId="0" fontId="4" fillId="2" borderId="0" xfId="1" applyFont="1" applyFill="1" applyBorder="1" applyAlignment="1" applyProtection="1">
      <alignment vertical="top" wrapText="1"/>
      <protection hidden="1"/>
    </xf>
    <xf numFmtId="0" fontId="5" fillId="2" borderId="0" xfId="1" applyFont="1" applyFill="1" applyBorder="1" applyAlignment="1" applyProtection="1">
      <alignment vertical="top" wrapText="1"/>
      <protection hidden="1"/>
    </xf>
    <xf numFmtId="0" fontId="5" fillId="2" borderId="0" xfId="1" applyFont="1" applyFill="1" applyBorder="1" applyAlignment="1" applyProtection="1">
      <alignment horizontal="center" vertical="top" wrapText="1"/>
      <protection hidden="1"/>
    </xf>
    <xf numFmtId="0" fontId="5" fillId="2" borderId="1" xfId="1" applyFont="1" applyFill="1" applyBorder="1" applyAlignment="1" applyProtection="1">
      <alignment vertical="top" wrapText="1"/>
      <protection hidden="1"/>
    </xf>
    <xf numFmtId="0" fontId="5" fillId="2" borderId="1" xfId="1" applyFont="1" applyFill="1" applyBorder="1" applyAlignment="1" applyProtection="1">
      <alignment horizontal="center" vertical="top" wrapText="1"/>
      <protection hidden="1"/>
    </xf>
    <xf numFmtId="0" fontId="5" fillId="2" borderId="7" xfId="1" applyFont="1" applyFill="1" applyBorder="1" applyAlignment="1" applyProtection="1">
      <alignment horizontal="center" vertical="top" wrapText="1"/>
      <protection hidden="1"/>
    </xf>
    <xf numFmtId="0" fontId="5" fillId="2" borderId="9" xfId="1" applyFont="1" applyFill="1" applyBorder="1" applyAlignment="1" applyProtection="1">
      <alignment vertical="top" wrapText="1"/>
      <protection hidden="1"/>
    </xf>
    <xf numFmtId="0" fontId="5" fillId="2" borderId="9" xfId="1" applyFont="1" applyFill="1" applyBorder="1" applyAlignment="1" applyProtection="1">
      <alignment horizontal="center" vertical="top" wrapText="1"/>
      <protection hidden="1"/>
    </xf>
    <xf numFmtId="0" fontId="5" fillId="2" borderId="1" xfId="1" applyFont="1" applyFill="1" applyBorder="1" applyAlignment="1" applyProtection="1">
      <alignment horizontal="left" vertical="top" wrapText="1"/>
      <protection hidden="1"/>
    </xf>
    <xf numFmtId="0" fontId="5" fillId="2" borderId="3" xfId="1" applyFont="1" applyFill="1" applyBorder="1" applyAlignment="1" applyProtection="1">
      <alignment horizontal="center" vertical="top" wrapText="1"/>
      <protection hidden="1"/>
    </xf>
    <xf numFmtId="0" fontId="5" fillId="2" borderId="1" xfId="1" applyFont="1" applyFill="1" applyBorder="1" applyAlignment="1" applyProtection="1">
      <alignment horizontal="justify" vertical="top" wrapText="1"/>
      <protection hidden="1"/>
    </xf>
    <xf numFmtId="0" fontId="3" fillId="2" borderId="0" xfId="1" applyFont="1" applyFill="1" applyBorder="1" applyProtection="1">
      <protection hidden="1"/>
    </xf>
    <xf numFmtId="0" fontId="5" fillId="2" borderId="2" xfId="1" applyFont="1" applyFill="1" applyBorder="1" applyAlignment="1" applyProtection="1">
      <alignment horizontal="left" vertical="top" wrapText="1"/>
      <protection hidden="1"/>
    </xf>
    <xf numFmtId="0" fontId="5" fillId="2" borderId="6" xfId="1" applyFont="1" applyFill="1" applyBorder="1" applyAlignment="1" applyProtection="1">
      <alignment vertical="center" wrapText="1"/>
      <protection hidden="1"/>
    </xf>
    <xf numFmtId="0" fontId="5" fillId="2" borderId="6" xfId="0" applyFont="1" applyFill="1" applyBorder="1" applyAlignment="1" applyProtection="1">
      <alignment horizontal="left" vertical="top" wrapText="1"/>
      <protection hidden="1"/>
    </xf>
    <xf numFmtId="0" fontId="5" fillId="2" borderId="6" xfId="0" applyFont="1" applyFill="1" applyBorder="1" applyAlignment="1" applyProtection="1">
      <alignment horizontal="center" vertical="top" wrapText="1"/>
      <protection hidden="1"/>
    </xf>
    <xf numFmtId="0" fontId="5" fillId="2" borderId="0" xfId="1" applyFont="1" applyFill="1" applyBorder="1" applyAlignment="1" applyProtection="1">
      <alignment vertical="center" wrapText="1"/>
      <protection hidden="1"/>
    </xf>
    <xf numFmtId="0" fontId="5" fillId="2" borderId="2" xfId="0" applyFont="1" applyFill="1" applyBorder="1" applyAlignment="1" applyProtection="1">
      <alignment horizontal="center" vertical="top" wrapText="1"/>
      <protection hidden="1"/>
    </xf>
    <xf numFmtId="0" fontId="5" fillId="2" borderId="2" xfId="0" applyFont="1" applyFill="1" applyBorder="1" applyAlignment="1" applyProtection="1">
      <alignment horizontal="center" vertical="top"/>
      <protection hidden="1"/>
    </xf>
    <xf numFmtId="0" fontId="5" fillId="2" borderId="0" xfId="0" applyFont="1" applyFill="1" applyAlignment="1" applyProtection="1">
      <alignment vertical="top"/>
      <protection hidden="1"/>
    </xf>
    <xf numFmtId="0" fontId="5" fillId="2" borderId="2" xfId="0" applyFont="1" applyFill="1" applyBorder="1" applyAlignment="1" applyProtection="1">
      <alignment vertical="top" wrapText="1"/>
      <protection hidden="1"/>
    </xf>
    <xf numFmtId="0" fontId="5" fillId="2" borderId="0" xfId="0" applyFont="1" applyFill="1" applyAlignment="1" applyProtection="1">
      <alignment horizontal="center" vertical="top"/>
      <protection hidden="1"/>
    </xf>
    <xf numFmtId="0" fontId="5" fillId="2" borderId="4" xfId="1" applyFont="1" applyFill="1" applyBorder="1" applyAlignment="1" applyProtection="1">
      <alignment horizontal="left" vertical="top" wrapText="1"/>
      <protection hidden="1"/>
    </xf>
    <xf numFmtId="0" fontId="5" fillId="0" borderId="0" xfId="0" applyFont="1" applyAlignment="1" applyProtection="1">
      <alignment horizontal="center" vertical="top"/>
      <protection hidden="1"/>
    </xf>
    <xf numFmtId="0" fontId="5" fillId="0" borderId="0" xfId="0" applyFont="1" applyBorder="1" applyProtection="1">
      <protection hidden="1"/>
    </xf>
    <xf numFmtId="0" fontId="5" fillId="2" borderId="9" xfId="0" applyFont="1" applyFill="1" applyBorder="1" applyAlignment="1" applyProtection="1">
      <alignment horizontal="left" vertical="top" wrapText="1"/>
      <protection hidden="1"/>
    </xf>
    <xf numFmtId="0" fontId="5" fillId="2" borderId="9" xfId="0" applyFont="1" applyFill="1" applyBorder="1" applyAlignment="1" applyProtection="1">
      <alignment horizontal="center" vertical="top"/>
      <protection hidden="1"/>
    </xf>
    <xf numFmtId="0" fontId="5" fillId="2" borderId="0" xfId="0" applyFont="1" applyFill="1" applyBorder="1" applyAlignment="1" applyProtection="1">
      <alignment horizontal="center" vertical="top"/>
      <protection hidden="1"/>
    </xf>
    <xf numFmtId="0" fontId="5" fillId="2" borderId="9" xfId="1" applyFont="1" applyFill="1" applyBorder="1" applyAlignment="1" applyProtection="1">
      <alignment horizontal="left" vertical="top" wrapText="1"/>
      <protection hidden="1"/>
    </xf>
    <xf numFmtId="0" fontId="5" fillId="2" borderId="9" xfId="1" applyFont="1" applyFill="1" applyBorder="1" applyAlignment="1" applyProtection="1">
      <alignment horizontal="center" vertical="justify" wrapText="1"/>
      <protection hidden="1"/>
    </xf>
    <xf numFmtId="0" fontId="5" fillId="0" borderId="9" xfId="0" applyFont="1" applyBorder="1" applyAlignment="1" applyProtection="1">
      <alignment vertical="top" wrapText="1"/>
      <protection hidden="1"/>
    </xf>
    <xf numFmtId="0" fontId="5" fillId="2" borderId="9" xfId="0" applyFont="1" applyFill="1" applyBorder="1" applyAlignment="1" applyProtection="1">
      <alignment vertical="top" wrapText="1"/>
      <protection hidden="1"/>
    </xf>
    <xf numFmtId="0" fontId="5" fillId="2" borderId="9" xfId="0" applyFont="1" applyFill="1" applyBorder="1" applyAlignment="1" applyProtection="1">
      <alignment horizontal="center" vertical="top" wrapText="1"/>
      <protection hidden="1"/>
    </xf>
    <xf numFmtId="0" fontId="5" fillId="2" borderId="9" xfId="1" applyFont="1" applyFill="1" applyBorder="1" applyAlignment="1" applyProtection="1">
      <alignment horizontal="justify" vertical="top" wrapText="1"/>
      <protection hidden="1"/>
    </xf>
    <xf numFmtId="3" fontId="5" fillId="2" borderId="0" xfId="1" applyNumberFormat="1" applyFont="1" applyFill="1" applyAlignment="1" applyProtection="1">
      <alignment wrapText="1"/>
      <protection hidden="1"/>
    </xf>
    <xf numFmtId="167" fontId="4" fillId="2" borderId="4" xfId="1" applyNumberFormat="1" applyFont="1" applyFill="1" applyBorder="1" applyAlignment="1" applyProtection="1">
      <alignment horizontal="right" wrapText="1"/>
      <protection hidden="1"/>
    </xf>
    <xf numFmtId="0" fontId="13" fillId="2" borderId="0" xfId="1" applyFont="1" applyFill="1" applyAlignment="1" applyProtection="1">
      <alignment wrapText="1"/>
      <protection hidden="1"/>
    </xf>
    <xf numFmtId="164" fontId="4" fillId="2" borderId="0" xfId="1" applyNumberFormat="1" applyFont="1" applyFill="1" applyAlignment="1" applyProtection="1">
      <alignment horizontal="right" wrapText="1"/>
      <protection hidden="1"/>
    </xf>
    <xf numFmtId="0" fontId="12" fillId="2" borderId="0" xfId="1" applyFont="1" applyFill="1" applyAlignment="1" applyProtection="1">
      <alignment horizontal="left" wrapText="1" indent="1"/>
      <protection hidden="1"/>
    </xf>
    <xf numFmtId="0" fontId="12" fillId="2" borderId="0" xfId="1" applyFont="1" applyFill="1" applyAlignment="1" applyProtection="1">
      <alignment horizontal="left" wrapText="1" indent="4"/>
      <protection hidden="1"/>
    </xf>
    <xf numFmtId="0" fontId="12" fillId="2" borderId="4" xfId="1" applyFont="1" applyFill="1" applyBorder="1" applyAlignment="1" applyProtection="1">
      <alignment horizontal="left" wrapText="1" indent="1"/>
      <protection hidden="1"/>
    </xf>
    <xf numFmtId="0" fontId="5" fillId="2" borderId="10" xfId="1" applyFont="1" applyFill="1" applyBorder="1" applyAlignment="1" applyProtection="1">
      <alignment vertical="top" wrapText="1"/>
      <protection hidden="1"/>
    </xf>
    <xf numFmtId="0" fontId="5" fillId="2" borderId="10" xfId="1" applyFont="1" applyFill="1" applyBorder="1" applyAlignment="1" applyProtection="1">
      <alignment horizontal="center" vertical="top" wrapText="1"/>
      <protection hidden="1"/>
    </xf>
    <xf numFmtId="0" fontId="5" fillId="2" borderId="11" xfId="1" applyFont="1" applyFill="1" applyBorder="1" applyAlignment="1" applyProtection="1">
      <alignment vertical="top" wrapText="1"/>
      <protection hidden="1"/>
    </xf>
    <xf numFmtId="0" fontId="5" fillId="2" borderId="11" xfId="1" applyFont="1" applyFill="1" applyBorder="1" applyAlignment="1" applyProtection="1">
      <alignment horizontal="center" vertical="top" wrapText="1"/>
      <protection hidden="1"/>
    </xf>
    <xf numFmtId="0" fontId="5" fillId="2" borderId="5" xfId="1" applyFont="1" applyFill="1" applyBorder="1" applyAlignment="1" applyProtection="1">
      <alignment vertical="top" wrapText="1"/>
      <protection hidden="1"/>
    </xf>
    <xf numFmtId="0" fontId="5" fillId="2" borderId="5" xfId="1" applyFont="1" applyFill="1" applyBorder="1" applyAlignment="1" applyProtection="1">
      <alignment horizontal="center" vertical="top" wrapText="1"/>
      <protection hidden="1"/>
    </xf>
    <xf numFmtId="0" fontId="14" fillId="2" borderId="0" xfId="1" applyFont="1" applyFill="1" applyBorder="1" applyAlignment="1" applyProtection="1">
      <alignment horizontal="left" wrapText="1"/>
      <protection hidden="1"/>
    </xf>
    <xf numFmtId="3" fontId="5" fillId="2" borderId="4" xfId="1" applyNumberFormat="1" applyFont="1" applyFill="1" applyBorder="1" applyAlignment="1" applyProtection="1">
      <alignment horizontal="right" wrapText="1"/>
      <protection hidden="1"/>
    </xf>
    <xf numFmtId="0" fontId="12" fillId="2" borderId="0" xfId="1" applyFont="1" applyFill="1" applyAlignment="1" applyProtection="1">
      <alignment horizontal="center" wrapText="1"/>
      <protection hidden="1"/>
    </xf>
    <xf numFmtId="0" fontId="4" fillId="2" borderId="0" xfId="1" applyFont="1" applyFill="1" applyAlignment="1" applyProtection="1">
      <alignment horizontal="left" wrapText="1" indent="3"/>
      <protection hidden="1"/>
    </xf>
    <xf numFmtId="169" fontId="4" fillId="2" borderId="0" xfId="1" applyNumberFormat="1" applyFont="1" applyFill="1" applyAlignment="1" applyProtection="1">
      <alignment horizontal="right" wrapText="1"/>
      <protection hidden="1"/>
    </xf>
    <xf numFmtId="0" fontId="21" fillId="3" borderId="0" xfId="1" applyFont="1" applyFill="1" applyAlignment="1" applyProtection="1">
      <alignment horizontal="justify" vertical="top" wrapText="1"/>
      <protection hidden="1"/>
    </xf>
    <xf numFmtId="0" fontId="4" fillId="2" borderId="1" xfId="1" applyFont="1" applyFill="1" applyBorder="1" applyAlignment="1" applyProtection="1">
      <alignment horizontal="left" wrapText="1" indent="3"/>
      <protection hidden="1"/>
    </xf>
    <xf numFmtId="0" fontId="3" fillId="2" borderId="0" xfId="1" applyFont="1" applyFill="1" applyAlignment="1" applyProtection="1">
      <alignment horizontal="justify"/>
      <protection hidden="1"/>
    </xf>
    <xf numFmtId="0" fontId="14" fillId="2" borderId="0" xfId="1" applyFont="1" applyFill="1" applyBorder="1" applyAlignment="1" applyProtection="1">
      <alignment horizontal="left" vertical="top" wrapText="1"/>
      <protection hidden="1"/>
    </xf>
    <xf numFmtId="169" fontId="5" fillId="2" borderId="0" xfId="5" applyNumberFormat="1" applyFont="1" applyFill="1" applyAlignment="1" applyProtection="1">
      <alignment horizontal="right" wrapText="1"/>
      <protection hidden="1"/>
    </xf>
    <xf numFmtId="0" fontId="5" fillId="2" borderId="0" xfId="0" applyFont="1" applyFill="1" applyBorder="1" applyAlignment="1" applyProtection="1">
      <alignment horizontal="right" wrapText="1"/>
      <protection hidden="1"/>
    </xf>
    <xf numFmtId="0" fontId="28" fillId="2" borderId="0" xfId="1" applyFont="1" applyFill="1" applyAlignment="1" applyProtection="1">
      <alignment horizontal="left" wrapText="1" indent="1"/>
      <protection hidden="1"/>
    </xf>
    <xf numFmtId="169" fontId="4" fillId="2" borderId="0" xfId="5" applyNumberFormat="1" applyFont="1" applyFill="1" applyAlignment="1" applyProtection="1">
      <alignment horizontal="right" wrapText="1"/>
      <protection hidden="1"/>
    </xf>
    <xf numFmtId="0" fontId="5" fillId="2" borderId="0" xfId="0" applyFont="1" applyFill="1" applyAlignment="1" applyProtection="1">
      <alignment horizontal="right" wrapText="1"/>
      <protection hidden="1"/>
    </xf>
    <xf numFmtId="164" fontId="5" fillId="2" borderId="0" xfId="0" applyNumberFormat="1" applyFont="1" applyFill="1" applyAlignment="1" applyProtection="1">
      <alignment horizontal="right" wrapText="1"/>
      <protection hidden="1"/>
    </xf>
    <xf numFmtId="169" fontId="4" fillId="2" borderId="4" xfId="5" applyNumberFormat="1" applyFont="1" applyFill="1" applyBorder="1" applyAlignment="1" applyProtection="1">
      <alignment horizontal="right" wrapText="1"/>
      <protection hidden="1"/>
    </xf>
    <xf numFmtId="0" fontId="4" fillId="2" borderId="4" xfId="0" applyFont="1" applyFill="1" applyBorder="1" applyAlignment="1" applyProtection="1">
      <alignment horizontal="right" wrapText="1"/>
      <protection hidden="1"/>
    </xf>
    <xf numFmtId="169" fontId="5" fillId="2" borderId="4" xfId="5" applyNumberFormat="1" applyFont="1" applyFill="1" applyBorder="1" applyAlignment="1" applyProtection="1">
      <alignment horizontal="right" wrapText="1"/>
      <protection hidden="1"/>
    </xf>
    <xf numFmtId="0" fontId="38" fillId="2" borderId="0" xfId="1" applyFont="1" applyFill="1" applyProtection="1">
      <protection hidden="1"/>
    </xf>
    <xf numFmtId="165" fontId="12" fillId="2" borderId="0" xfId="1" applyNumberFormat="1" applyFont="1" applyFill="1" applyAlignment="1" applyProtection="1">
      <alignment horizontal="right" wrapText="1"/>
      <protection hidden="1"/>
    </xf>
    <xf numFmtId="165" fontId="5" fillId="2" borderId="0" xfId="0" applyNumberFormat="1" applyFont="1" applyFill="1" applyAlignment="1" applyProtection="1">
      <alignment horizontal="right" wrapText="1"/>
      <protection hidden="1"/>
    </xf>
    <xf numFmtId="175" fontId="5" fillId="2" borderId="0" xfId="1" applyNumberFormat="1" applyFont="1" applyFill="1" applyAlignment="1" applyProtection="1">
      <alignment horizontal="right" wrapText="1"/>
      <protection hidden="1"/>
    </xf>
    <xf numFmtId="0" fontId="5" fillId="2" borderId="4" xfId="1" applyFont="1" applyFill="1" applyBorder="1" applyAlignment="1" applyProtection="1">
      <alignment horizontal="left" vertical="top" wrapText="1" indent="1"/>
      <protection hidden="1"/>
    </xf>
    <xf numFmtId="165" fontId="5" fillId="2" borderId="4" xfId="1" applyNumberFormat="1" applyFont="1" applyFill="1" applyBorder="1" applyAlignment="1" applyProtection="1">
      <alignment horizontal="center" wrapText="1"/>
      <protection hidden="1"/>
    </xf>
    <xf numFmtId="165" fontId="12" fillId="2" borderId="4" xfId="1" applyNumberFormat="1" applyFont="1" applyFill="1" applyBorder="1" applyAlignment="1" applyProtection="1">
      <alignment horizontal="right" wrapText="1"/>
      <protection hidden="1"/>
    </xf>
    <xf numFmtId="165" fontId="5" fillId="2" borderId="4" xfId="0" applyNumberFormat="1" applyFont="1" applyFill="1" applyBorder="1" applyAlignment="1" applyProtection="1">
      <alignment horizontal="right" wrapText="1"/>
      <protection hidden="1"/>
    </xf>
    <xf numFmtId="0" fontId="4" fillId="2" borderId="0" xfId="1" applyFont="1" applyFill="1" applyAlignment="1" applyProtection="1">
      <alignment horizontal="left" vertical="top" wrapText="1" indent="2"/>
      <protection hidden="1"/>
    </xf>
    <xf numFmtId="0" fontId="5" fillId="2" borderId="0" xfId="1" applyFont="1" applyFill="1" applyAlignment="1" applyProtection="1">
      <alignment horizontal="left" vertical="top" wrapText="1" indent="3"/>
      <protection hidden="1"/>
    </xf>
    <xf numFmtId="172" fontId="5" fillId="2" borderId="0" xfId="1" applyNumberFormat="1" applyFont="1" applyFill="1" applyAlignment="1" applyProtection="1">
      <alignment horizontal="center" wrapText="1"/>
      <protection hidden="1"/>
    </xf>
    <xf numFmtId="172" fontId="5" fillId="2" borderId="0" xfId="1" applyNumberFormat="1" applyFont="1" applyFill="1" applyAlignment="1" applyProtection="1">
      <alignment horizontal="right" wrapText="1"/>
      <protection hidden="1"/>
    </xf>
    <xf numFmtId="0" fontId="5" fillId="2" borderId="4" xfId="1" applyFont="1" applyFill="1" applyBorder="1" applyAlignment="1" applyProtection="1">
      <alignment horizontal="left" vertical="top" wrapText="1" indent="3"/>
      <protection hidden="1"/>
    </xf>
    <xf numFmtId="0" fontId="43" fillId="0" borderId="0" xfId="1" applyFont="1" applyProtection="1">
      <protection hidden="1"/>
    </xf>
    <xf numFmtId="172" fontId="5" fillId="2" borderId="4" xfId="1" applyNumberFormat="1" applyFont="1" applyFill="1" applyBorder="1" applyAlignment="1" applyProtection="1">
      <alignment horizontal="right" wrapText="1"/>
      <protection hidden="1"/>
    </xf>
    <xf numFmtId="0" fontId="5" fillId="2" borderId="10" xfId="1" applyFont="1" applyFill="1" applyBorder="1" applyAlignment="1" applyProtection="1">
      <alignment horizontal="justify" vertical="top" wrapText="1"/>
      <protection hidden="1"/>
    </xf>
    <xf numFmtId="0" fontId="5" fillId="2" borderId="10" xfId="1" applyFont="1" applyFill="1" applyBorder="1" applyAlignment="1" applyProtection="1">
      <alignment horizontal="left" vertical="top" wrapText="1"/>
      <protection hidden="1"/>
    </xf>
    <xf numFmtId="0" fontId="5" fillId="2" borderId="0" xfId="1" applyFont="1" applyFill="1" applyAlignment="1" applyProtection="1">
      <alignment horizontal="left" vertical="top" wrapText="1"/>
      <protection hidden="1"/>
    </xf>
    <xf numFmtId="0" fontId="5" fillId="2" borderId="0" xfId="1" applyFont="1" applyFill="1" applyAlignment="1" applyProtection="1">
      <alignment horizontal="justify" vertical="top" wrapText="1"/>
      <protection hidden="1"/>
    </xf>
    <xf numFmtId="0" fontId="5" fillId="2" borderId="10" xfId="1" applyFont="1" applyFill="1" applyBorder="1" applyAlignment="1" applyProtection="1">
      <alignment horizontal="left" wrapText="1"/>
      <protection hidden="1"/>
    </xf>
    <xf numFmtId="173" fontId="5" fillId="2" borderId="0" xfId="1" applyNumberFormat="1" applyFont="1" applyFill="1" applyAlignment="1" applyProtection="1">
      <alignment horizontal="right" wrapText="1"/>
      <protection hidden="1"/>
    </xf>
    <xf numFmtId="0" fontId="4" fillId="2" borderId="4" xfId="1" applyFont="1" applyFill="1" applyBorder="1" applyAlignment="1" applyProtection="1">
      <alignment horizontal="left" vertical="top" wrapText="1" indent="1"/>
      <protection hidden="1"/>
    </xf>
    <xf numFmtId="173" fontId="4" fillId="2" borderId="4" xfId="1" applyNumberFormat="1" applyFont="1" applyFill="1" applyBorder="1" applyAlignment="1" applyProtection="1">
      <alignment horizontal="right" wrapText="1"/>
      <protection hidden="1"/>
    </xf>
    <xf numFmtId="172" fontId="4" fillId="2" borderId="4" xfId="1" applyNumberFormat="1" applyFont="1" applyFill="1" applyBorder="1" applyAlignment="1" applyProtection="1">
      <alignment horizontal="right" wrapText="1"/>
      <protection hidden="1"/>
    </xf>
    <xf numFmtId="172" fontId="5" fillId="2" borderId="0" xfId="1" applyNumberFormat="1" applyFont="1" applyFill="1" applyAlignment="1" applyProtection="1">
      <alignment horizontal="right" vertical="top" wrapText="1"/>
      <protection hidden="1"/>
    </xf>
    <xf numFmtId="0" fontId="5" fillId="2" borderId="0" xfId="0" applyFont="1" applyFill="1" applyAlignment="1" applyProtection="1">
      <alignment horizontal="right" vertical="top" wrapText="1"/>
      <protection hidden="1"/>
    </xf>
    <xf numFmtId="0" fontId="28" fillId="2" borderId="0" xfId="1" applyFont="1" applyFill="1" applyProtection="1">
      <protection hidden="1"/>
    </xf>
    <xf numFmtId="3" fontId="4" fillId="2" borderId="0" xfId="1" applyNumberFormat="1" applyFont="1" applyFill="1" applyAlignment="1" applyProtection="1">
      <alignment horizontal="right" wrapText="1"/>
      <protection hidden="1"/>
    </xf>
    <xf numFmtId="3" fontId="4" fillId="2" borderId="0" xfId="1" applyNumberFormat="1" applyFont="1" applyFill="1" applyAlignment="1" applyProtection="1">
      <alignment horizontal="right"/>
      <protection hidden="1"/>
    </xf>
    <xf numFmtId="3" fontId="4" fillId="2" borderId="4" xfId="1" applyNumberFormat="1" applyFont="1" applyFill="1" applyBorder="1" applyAlignment="1" applyProtection="1">
      <alignment horizontal="right" wrapText="1"/>
      <protection hidden="1"/>
    </xf>
    <xf numFmtId="3" fontId="4" fillId="2" borderId="4" xfId="1" applyNumberFormat="1" applyFont="1" applyFill="1" applyBorder="1" applyAlignment="1" applyProtection="1">
      <alignment horizontal="right"/>
      <protection hidden="1"/>
    </xf>
    <xf numFmtId="0" fontId="4" fillId="2" borderId="0" xfId="1" applyFont="1" applyFill="1" applyAlignment="1" applyProtection="1">
      <alignment horizontal="center"/>
      <protection hidden="1"/>
    </xf>
    <xf numFmtId="165" fontId="5" fillId="2" borderId="0" xfId="1" applyNumberFormat="1" applyFont="1" applyFill="1" applyAlignment="1" applyProtection="1">
      <alignment horizontal="right"/>
      <protection hidden="1"/>
    </xf>
    <xf numFmtId="165" fontId="5" fillId="2" borderId="0" xfId="1" applyNumberFormat="1" applyFont="1" applyFill="1" applyBorder="1" applyAlignment="1" applyProtection="1">
      <alignment horizontal="right"/>
      <protection hidden="1"/>
    </xf>
    <xf numFmtId="165" fontId="5" fillId="2" borderId="4" xfId="1" applyNumberFormat="1" applyFont="1" applyFill="1" applyBorder="1" applyAlignment="1" applyProtection="1">
      <alignment horizontal="right"/>
      <protection hidden="1"/>
    </xf>
    <xf numFmtId="0" fontId="4" fillId="2" borderId="3" xfId="1" applyFont="1" applyFill="1" applyBorder="1" applyAlignment="1" applyProtection="1">
      <alignment wrapText="1"/>
      <protection hidden="1"/>
    </xf>
    <xf numFmtId="0" fontId="4" fillId="2" borderId="3" xfId="1" applyFont="1" applyFill="1" applyBorder="1" applyAlignment="1" applyProtection="1">
      <alignment horizontal="center" wrapText="1"/>
      <protection hidden="1"/>
    </xf>
    <xf numFmtId="0" fontId="4" fillId="2" borderId="3" xfId="1" applyFont="1" applyFill="1" applyBorder="1" applyAlignment="1" applyProtection="1">
      <alignment horizontal="center"/>
      <protection hidden="1"/>
    </xf>
    <xf numFmtId="165" fontId="5" fillId="2" borderId="1" xfId="1" applyNumberFormat="1" applyFont="1" applyFill="1" applyBorder="1" applyAlignment="1" applyProtection="1">
      <alignment horizontal="right"/>
      <protection hidden="1"/>
    </xf>
    <xf numFmtId="0" fontId="5" fillId="2" borderId="3" xfId="1" applyFont="1" applyFill="1" applyBorder="1" applyAlignment="1" applyProtection="1">
      <alignment horizontal="left" wrapText="1"/>
      <protection hidden="1"/>
    </xf>
    <xf numFmtId="0" fontId="18" fillId="3" borderId="0" xfId="1" applyFont="1" applyFill="1" applyAlignment="1" applyProtection="1">
      <alignment horizontal="right"/>
      <protection hidden="1"/>
    </xf>
    <xf numFmtId="172" fontId="4" fillId="2" borderId="0" xfId="1" applyNumberFormat="1" applyFont="1" applyFill="1" applyBorder="1" applyAlignment="1" applyProtection="1">
      <alignment horizontal="right" wrapText="1"/>
      <protection hidden="1"/>
    </xf>
    <xf numFmtId="172" fontId="4" fillId="2" borderId="0" xfId="1" applyNumberFormat="1" applyFont="1" applyFill="1" applyBorder="1" applyAlignment="1" applyProtection="1">
      <alignment horizontal="right"/>
      <protection hidden="1"/>
    </xf>
    <xf numFmtId="0" fontId="4" fillId="2" borderId="3" xfId="1" applyFont="1" applyFill="1" applyBorder="1" applyProtection="1">
      <protection hidden="1"/>
    </xf>
    <xf numFmtId="172" fontId="4" fillId="2" borderId="3" xfId="1" applyNumberFormat="1" applyFont="1" applyFill="1" applyBorder="1" applyAlignment="1" applyProtection="1">
      <alignment horizontal="right" wrapText="1"/>
      <protection hidden="1"/>
    </xf>
    <xf numFmtId="172" fontId="4" fillId="2" borderId="3" xfId="1" applyNumberFormat="1" applyFont="1" applyFill="1" applyBorder="1" applyAlignment="1" applyProtection="1">
      <alignment horizontal="right"/>
      <protection hidden="1"/>
    </xf>
    <xf numFmtId="0" fontId="5" fillId="2" borderId="0" xfId="1" applyFont="1" applyFill="1" applyBorder="1" applyAlignment="1" applyProtection="1">
      <alignment horizontal="left" indent="2"/>
      <protection hidden="1"/>
    </xf>
    <xf numFmtId="172" fontId="5" fillId="2" borderId="0" xfId="1" applyNumberFormat="1" applyFont="1" applyFill="1" applyBorder="1" applyAlignment="1" applyProtection="1">
      <alignment horizontal="right" wrapText="1"/>
      <protection hidden="1"/>
    </xf>
    <xf numFmtId="172" fontId="5" fillId="2" borderId="0" xfId="1" applyNumberFormat="1" applyFont="1" applyFill="1" applyBorder="1" applyAlignment="1" applyProtection="1">
      <alignment horizontal="right"/>
      <protection hidden="1"/>
    </xf>
    <xf numFmtId="0" fontId="4" fillId="2" borderId="1" xfId="1" applyFont="1" applyFill="1" applyBorder="1" applyAlignment="1" applyProtection="1">
      <alignment horizontal="left" indent="2"/>
      <protection hidden="1"/>
    </xf>
    <xf numFmtId="172" fontId="4" fillId="2" borderId="1" xfId="1" applyNumberFormat="1" applyFont="1" applyFill="1" applyBorder="1" applyAlignment="1" applyProtection="1">
      <alignment horizontal="right" wrapText="1"/>
      <protection hidden="1"/>
    </xf>
    <xf numFmtId="172" fontId="4" fillId="2" borderId="1" xfId="1" applyNumberFormat="1" applyFont="1" applyFill="1" applyBorder="1" applyAlignment="1" applyProtection="1">
      <alignment horizontal="right"/>
      <protection hidden="1"/>
    </xf>
    <xf numFmtId="0" fontId="4" fillId="2" borderId="0" xfId="1" applyFont="1" applyFill="1" applyProtection="1">
      <protection hidden="1"/>
    </xf>
    <xf numFmtId="172" fontId="4" fillId="2" borderId="0" xfId="1" applyNumberFormat="1" applyFont="1" applyFill="1" applyAlignment="1" applyProtection="1">
      <alignment horizontal="right" wrapText="1"/>
      <protection hidden="1"/>
    </xf>
    <xf numFmtId="172" fontId="4" fillId="2" borderId="0" xfId="1" applyNumberFormat="1" applyFont="1" applyFill="1" applyAlignment="1" applyProtection="1">
      <alignment horizontal="right"/>
      <protection hidden="1"/>
    </xf>
    <xf numFmtId="0" fontId="5" fillId="2" borderId="0" xfId="1" applyFont="1" applyFill="1" applyAlignment="1" applyProtection="1">
      <alignment horizontal="left" indent="2"/>
      <protection hidden="1"/>
    </xf>
    <xf numFmtId="172" fontId="5" fillId="2" borderId="0" xfId="1" applyNumberFormat="1" applyFont="1" applyFill="1" applyAlignment="1" applyProtection="1">
      <alignment horizontal="right"/>
      <protection hidden="1"/>
    </xf>
    <xf numFmtId="0" fontId="4" fillId="2" borderId="4" xfId="1" applyFont="1" applyFill="1" applyBorder="1" applyProtection="1">
      <protection hidden="1"/>
    </xf>
    <xf numFmtId="172" fontId="4" fillId="2" borderId="4" xfId="1" applyNumberFormat="1" applyFont="1" applyFill="1" applyBorder="1" applyAlignment="1" applyProtection="1">
      <alignment horizontal="right"/>
      <protection hidden="1"/>
    </xf>
    <xf numFmtId="0" fontId="4" fillId="2" borderId="0" xfId="1" applyFont="1" applyFill="1" applyBorder="1" applyProtection="1">
      <protection hidden="1"/>
    </xf>
    <xf numFmtId="0" fontId="16" fillId="2" borderId="0" xfId="0" applyFont="1" applyFill="1" applyAlignment="1" applyProtection="1">
      <alignment horizontal="left"/>
      <protection hidden="1"/>
    </xf>
    <xf numFmtId="0" fontId="0" fillId="2" borderId="0" xfId="0" applyFill="1" applyProtection="1">
      <protection hidden="1"/>
    </xf>
    <xf numFmtId="0" fontId="21" fillId="3" borderId="0" xfId="0" applyFont="1" applyFill="1" applyAlignment="1" applyProtection="1">
      <alignment wrapText="1"/>
      <protection hidden="1"/>
    </xf>
    <xf numFmtId="0" fontId="21" fillId="3" borderId="0" xfId="0" applyFont="1" applyFill="1" applyAlignment="1" applyProtection="1">
      <alignment vertical="top" wrapText="1"/>
      <protection hidden="1"/>
    </xf>
    <xf numFmtId="0" fontId="18" fillId="3" borderId="0" xfId="0" applyFont="1" applyFill="1" applyAlignment="1" applyProtection="1">
      <alignment horizontal="center" vertical="top" wrapText="1"/>
      <protection hidden="1"/>
    </xf>
    <xf numFmtId="0" fontId="18" fillId="3" borderId="0" xfId="0" applyFont="1" applyFill="1" applyAlignment="1" applyProtection="1">
      <alignment horizontal="center" vertical="top"/>
      <protection hidden="1"/>
    </xf>
    <xf numFmtId="0" fontId="5" fillId="2" borderId="0" xfId="0" applyFont="1" applyFill="1" applyBorder="1" applyAlignment="1" applyProtection="1">
      <alignment wrapText="1"/>
      <protection hidden="1"/>
    </xf>
    <xf numFmtId="0" fontId="5" fillId="0" borderId="0" xfId="1" applyFont="1" applyAlignment="1" applyProtection="1">
      <alignment wrapText="1"/>
      <protection hidden="1"/>
    </xf>
    <xf numFmtId="0" fontId="5" fillId="2" borderId="4" xfId="1" applyFont="1" applyFill="1" applyBorder="1" applyAlignment="1" applyProtection="1">
      <alignment horizontal="left" wrapText="1" indent="4"/>
      <protection hidden="1"/>
    </xf>
    <xf numFmtId="164" fontId="5" fillId="2" borderId="4" xfId="1" applyNumberFormat="1" applyFont="1" applyFill="1" applyBorder="1" applyAlignment="1" applyProtection="1">
      <alignment horizontal="right"/>
      <protection hidden="1"/>
    </xf>
    <xf numFmtId="0" fontId="21" fillId="3" borderId="0" xfId="1" applyFont="1" applyFill="1" applyAlignment="1" applyProtection="1">
      <alignment horizontal="right" wrapText="1"/>
      <protection hidden="1"/>
    </xf>
    <xf numFmtId="9" fontId="4" fillId="2" borderId="4" xfId="1" applyNumberFormat="1" applyFont="1" applyFill="1" applyBorder="1" applyAlignment="1" applyProtection="1">
      <alignment horizontal="right" wrapText="1"/>
      <protection hidden="1"/>
    </xf>
    <xf numFmtId="0" fontId="5" fillId="2" borderId="4" xfId="1" applyFont="1" applyFill="1" applyBorder="1" applyProtection="1">
      <protection hidden="1"/>
    </xf>
    <xf numFmtId="0" fontId="5" fillId="2" borderId="1" xfId="1" applyFont="1" applyFill="1" applyBorder="1" applyAlignment="1" applyProtection="1">
      <alignment horizontal="left" vertical="top" wrapText="1" indent="1"/>
      <protection hidden="1"/>
    </xf>
    <xf numFmtId="0" fontId="5" fillId="2" borderId="1" xfId="0" applyFont="1" applyFill="1" applyBorder="1" applyAlignment="1" applyProtection="1">
      <alignment horizontal="right" wrapText="1"/>
      <protection hidden="1"/>
    </xf>
    <xf numFmtId="0" fontId="5" fillId="2" borderId="0" xfId="1" applyFont="1" applyFill="1" applyBorder="1" applyAlignment="1" applyProtection="1">
      <alignment horizontal="left" vertical="top" wrapText="1"/>
      <protection hidden="1"/>
    </xf>
    <xf numFmtId="167" fontId="5" fillId="2" borderId="4" xfId="1" applyNumberFormat="1" applyFont="1" applyFill="1" applyBorder="1" applyAlignment="1" applyProtection="1">
      <alignment horizontal="right" wrapText="1"/>
      <protection hidden="1"/>
    </xf>
    <xf numFmtId="167" fontId="5" fillId="2" borderId="4" xfId="0" applyNumberFormat="1" applyFont="1" applyFill="1" applyBorder="1" applyAlignment="1" applyProtection="1">
      <alignment horizontal="right" wrapText="1"/>
      <protection hidden="1"/>
    </xf>
    <xf numFmtId="0" fontId="5" fillId="2" borderId="0" xfId="1" applyFont="1" applyFill="1" applyBorder="1" applyAlignment="1" applyProtection="1">
      <alignment horizontal="left" vertical="top" wrapText="1" indent="2"/>
      <protection hidden="1"/>
    </xf>
    <xf numFmtId="0" fontId="4" fillId="2" borderId="1" xfId="1" applyFont="1" applyFill="1" applyBorder="1" applyAlignment="1" applyProtection="1">
      <alignment horizontal="left" vertical="top" wrapText="1" indent="2"/>
      <protection hidden="1"/>
    </xf>
    <xf numFmtId="0" fontId="4" fillId="2" borderId="1" xfId="1" applyFont="1" applyFill="1" applyBorder="1" applyAlignment="1" applyProtection="1">
      <alignment horizontal="right" wrapText="1"/>
      <protection hidden="1"/>
    </xf>
    <xf numFmtId="164" fontId="4" fillId="2" borderId="1" xfId="1" applyNumberFormat="1" applyFont="1" applyFill="1" applyBorder="1" applyAlignment="1" applyProtection="1">
      <alignment horizontal="right" wrapText="1"/>
      <protection hidden="1"/>
    </xf>
    <xf numFmtId="3" fontId="4" fillId="2" borderId="1" xfId="1" applyNumberFormat="1" applyFont="1" applyFill="1" applyBorder="1" applyAlignment="1" applyProtection="1">
      <alignment horizontal="right" wrapText="1"/>
      <protection hidden="1"/>
    </xf>
    <xf numFmtId="0" fontId="4" fillId="2" borderId="4" xfId="1" applyFont="1" applyFill="1" applyBorder="1" applyAlignment="1" applyProtection="1">
      <alignment horizontal="left" vertical="top" wrapText="1" indent="2"/>
      <protection hidden="1"/>
    </xf>
    <xf numFmtId="3" fontId="5" fillId="2" borderId="0" xfId="1" applyNumberFormat="1" applyFont="1" applyFill="1" applyBorder="1" applyAlignment="1" applyProtection="1">
      <alignment horizontal="right" wrapText="1"/>
      <protection hidden="1"/>
    </xf>
    <xf numFmtId="0" fontId="21" fillId="3" borderId="0" xfId="1" applyFont="1" applyFill="1" applyAlignment="1" applyProtection="1">
      <alignment vertical="top" wrapText="1"/>
      <protection hidden="1"/>
    </xf>
    <xf numFmtId="43" fontId="5" fillId="2" borderId="0" xfId="1" applyNumberFormat="1" applyFont="1" applyFill="1" applyBorder="1" applyAlignment="1" applyProtection="1">
      <alignment horizontal="right" wrapText="1"/>
      <protection hidden="1"/>
    </xf>
    <xf numFmtId="0" fontId="5" fillId="2" borderId="4" xfId="1" applyFont="1" applyFill="1" applyBorder="1" applyAlignment="1" applyProtection="1">
      <alignment horizontal="left" wrapText="1" indent="3"/>
      <protection hidden="1"/>
    </xf>
    <xf numFmtId="165" fontId="4" fillId="2" borderId="0" xfId="1" applyNumberFormat="1" applyFont="1" applyFill="1" applyAlignment="1" applyProtection="1">
      <alignment horizontal="right" wrapText="1"/>
      <protection hidden="1"/>
    </xf>
    <xf numFmtId="0" fontId="5" fillId="2" borderId="1" xfId="1" applyFont="1" applyFill="1" applyBorder="1" applyAlignment="1" applyProtection="1">
      <alignment horizontal="left" wrapText="1" indent="2"/>
      <protection hidden="1"/>
    </xf>
    <xf numFmtId="0" fontId="5" fillId="2" borderId="0" xfId="1" applyFont="1" applyFill="1" applyBorder="1" applyAlignment="1" applyProtection="1">
      <alignment horizontal="left" wrapText="1" indent="3"/>
      <protection hidden="1"/>
    </xf>
    <xf numFmtId="0" fontId="5" fillId="2" borderId="1" xfId="1" applyFont="1" applyFill="1" applyBorder="1" applyAlignment="1" applyProtection="1">
      <alignment horizontal="left" wrapText="1" indent="3"/>
      <protection hidden="1"/>
    </xf>
    <xf numFmtId="0" fontId="11" fillId="2" borderId="0" xfId="1" applyFont="1" applyFill="1" applyAlignment="1" applyProtection="1">
      <alignment horizontal="left"/>
      <protection hidden="1"/>
    </xf>
    <xf numFmtId="0" fontId="4" fillId="2" borderId="1" xfId="0" applyFont="1" applyFill="1" applyBorder="1" applyAlignment="1" applyProtection="1">
      <alignment horizontal="right" wrapText="1"/>
      <protection hidden="1"/>
    </xf>
    <xf numFmtId="10" fontId="5" fillId="2" borderId="0" xfId="1" applyNumberFormat="1" applyFont="1" applyFill="1" applyBorder="1" applyAlignment="1" applyProtection="1">
      <alignment horizontal="right" wrapText="1"/>
      <protection hidden="1"/>
    </xf>
    <xf numFmtId="167" fontId="5" fillId="2" borderId="0" xfId="0" applyNumberFormat="1" applyFont="1" applyFill="1" applyAlignment="1" applyProtection="1">
      <alignment horizontal="right" vertical="top" wrapText="1"/>
      <protection hidden="1"/>
    </xf>
    <xf numFmtId="167" fontId="5" fillId="2" borderId="1" xfId="0" applyNumberFormat="1" applyFont="1" applyFill="1" applyBorder="1" applyAlignment="1" applyProtection="1">
      <alignment horizontal="right" vertical="top" wrapText="1"/>
      <protection hidden="1"/>
    </xf>
    <xf numFmtId="10" fontId="5" fillId="2" borderId="0" xfId="1" applyNumberFormat="1" applyFont="1" applyFill="1" applyAlignment="1" applyProtection="1">
      <alignment horizontal="right" vertical="top" wrapText="1"/>
      <protection hidden="1"/>
    </xf>
    <xf numFmtId="167" fontId="5" fillId="2" borderId="0" xfId="1" applyNumberFormat="1" applyFont="1" applyFill="1" applyAlignment="1" applyProtection="1">
      <alignment horizontal="right" vertical="top" wrapText="1"/>
      <protection hidden="1"/>
    </xf>
    <xf numFmtId="0" fontId="5" fillId="2" borderId="4" xfId="1" applyFont="1" applyFill="1" applyBorder="1" applyAlignment="1" applyProtection="1">
      <alignment horizontal="left" wrapText="1" indent="2"/>
      <protection hidden="1"/>
    </xf>
    <xf numFmtId="10" fontId="5" fillId="2" borderId="4" xfId="1" applyNumberFormat="1" applyFont="1" applyFill="1" applyBorder="1" applyAlignment="1" applyProtection="1">
      <alignment horizontal="right" vertical="top" wrapText="1"/>
      <protection hidden="1"/>
    </xf>
    <xf numFmtId="167" fontId="5" fillId="2" borderId="4" xfId="1" applyNumberFormat="1" applyFont="1" applyFill="1" applyBorder="1" applyAlignment="1" applyProtection="1">
      <alignment horizontal="right" vertical="top" wrapText="1"/>
      <protection hidden="1"/>
    </xf>
    <xf numFmtId="167" fontId="5" fillId="2" borderId="4" xfId="0" applyNumberFormat="1" applyFont="1" applyFill="1" applyBorder="1" applyAlignment="1" applyProtection="1">
      <alignment horizontal="right" vertical="top" wrapText="1"/>
      <protection hidden="1"/>
    </xf>
    <xf numFmtId="10" fontId="5" fillId="2" borderId="0" xfId="1" applyNumberFormat="1" applyFont="1" applyFill="1" applyAlignment="1" applyProtection="1">
      <alignment horizontal="right" wrapText="1"/>
      <protection hidden="1"/>
    </xf>
    <xf numFmtId="167" fontId="5" fillId="2" borderId="1" xfId="0" applyNumberFormat="1" applyFont="1" applyFill="1" applyBorder="1" applyAlignment="1" applyProtection="1">
      <alignment horizontal="right" wrapText="1"/>
      <protection hidden="1"/>
    </xf>
    <xf numFmtId="167" fontId="5" fillId="2" borderId="3" xfId="1" applyNumberFormat="1" applyFont="1" applyFill="1" applyBorder="1" applyAlignment="1" applyProtection="1">
      <alignment horizontal="right" wrapText="1"/>
      <protection hidden="1"/>
    </xf>
    <xf numFmtId="10" fontId="5" fillId="2" borderId="4" xfId="1" applyNumberFormat="1" applyFont="1" applyFill="1" applyBorder="1" applyAlignment="1" applyProtection="1">
      <alignment horizontal="right" wrapText="1"/>
      <protection hidden="1"/>
    </xf>
    <xf numFmtId="0" fontId="17" fillId="2" borderId="0" xfId="1" applyFont="1" applyFill="1" applyAlignment="1" applyProtection="1">
      <alignment horizontal="left"/>
      <protection hidden="1"/>
    </xf>
    <xf numFmtId="0" fontId="22" fillId="2" borderId="0" xfId="1" applyFont="1" applyFill="1" applyAlignment="1" applyProtection="1">
      <alignment wrapText="1"/>
      <protection hidden="1"/>
    </xf>
    <xf numFmtId="3" fontId="22" fillId="2" borderId="0" xfId="1" applyNumberFormat="1" applyFont="1" applyFill="1" applyAlignment="1" applyProtection="1">
      <alignment wrapText="1"/>
      <protection hidden="1"/>
    </xf>
    <xf numFmtId="165" fontId="22" fillId="2" borderId="0" xfId="1" applyNumberFormat="1" applyFont="1" applyFill="1" applyAlignment="1" applyProtection="1">
      <alignment wrapText="1"/>
      <protection hidden="1"/>
    </xf>
    <xf numFmtId="0" fontId="28" fillId="2" borderId="0" xfId="1" applyFont="1" applyFill="1" applyAlignment="1" applyProtection="1">
      <alignment vertical="top" wrapText="1"/>
      <protection hidden="1"/>
    </xf>
    <xf numFmtId="0" fontId="5" fillId="2" borderId="4" xfId="1" applyFont="1" applyFill="1" applyBorder="1" applyAlignment="1" applyProtection="1">
      <alignment horizontal="justify" vertical="top" wrapText="1"/>
      <protection hidden="1"/>
    </xf>
    <xf numFmtId="9" fontId="5" fillId="2" borderId="6" xfId="1" applyNumberFormat="1" applyFont="1" applyFill="1" applyBorder="1" applyAlignment="1" applyProtection="1">
      <alignment horizontal="center" vertical="top" wrapText="1"/>
      <protection hidden="1"/>
    </xf>
    <xf numFmtId="0" fontId="18" fillId="3" borderId="0" xfId="1" applyFont="1" applyFill="1" applyAlignment="1" applyProtection="1">
      <alignment horizontal="center" vertical="center" wrapText="1"/>
      <protection hidden="1"/>
    </xf>
    <xf numFmtId="0" fontId="18" fillId="3" borderId="0" xfId="1" applyFont="1" applyFill="1" applyAlignment="1" applyProtection="1">
      <alignment textRotation="90" wrapText="1"/>
      <protection hidden="1"/>
    </xf>
    <xf numFmtId="0" fontId="18" fillId="3" borderId="0" xfId="1" applyFont="1" applyFill="1" applyAlignment="1" applyProtection="1">
      <alignment horizontal="center" vertical="center" textRotation="90" wrapText="1"/>
      <protection hidden="1"/>
    </xf>
    <xf numFmtId="0" fontId="5" fillId="2" borderId="6" xfId="1" applyFont="1" applyFill="1" applyBorder="1" applyAlignment="1" applyProtection="1">
      <alignment horizontal="left" vertical="top" wrapText="1" indent="1"/>
      <protection hidden="1"/>
    </xf>
    <xf numFmtId="0" fontId="5" fillId="0" borderId="0" xfId="1" applyFont="1" applyBorder="1" applyAlignment="1" applyProtection="1">
      <alignment horizontal="left" vertical="top" wrapText="1" indent="1"/>
      <protection hidden="1"/>
    </xf>
    <xf numFmtId="0" fontId="5" fillId="2" borderId="2" xfId="0" applyFont="1" applyFill="1" applyBorder="1" applyAlignment="1" applyProtection="1">
      <alignment horizontal="left" vertical="top" wrapText="1" indent="1"/>
      <protection hidden="1"/>
    </xf>
    <xf numFmtId="0" fontId="5" fillId="2" borderId="9" xfId="1" applyFont="1" applyFill="1" applyBorder="1" applyAlignment="1" applyProtection="1">
      <alignment horizontal="left" vertical="top" wrapText="1" indent="1"/>
      <protection hidden="1"/>
    </xf>
    <xf numFmtId="0" fontId="5" fillId="0" borderId="9" xfId="1" applyFont="1" applyBorder="1" applyProtection="1">
      <protection hidden="1"/>
    </xf>
    <xf numFmtId="9" fontId="5" fillId="0" borderId="9" xfId="1" applyNumberFormat="1" applyFont="1" applyBorder="1" applyAlignment="1" applyProtection="1">
      <alignment horizontal="center"/>
      <protection hidden="1"/>
    </xf>
    <xf numFmtId="0" fontId="5" fillId="2" borderId="2" xfId="1" applyFont="1" applyFill="1" applyBorder="1" applyAlignment="1" applyProtection="1">
      <alignment horizontal="left" vertical="top" wrapText="1" indent="1"/>
      <protection hidden="1"/>
    </xf>
    <xf numFmtId="9" fontId="5" fillId="2" borderId="2" xfId="1" applyNumberFormat="1" applyFont="1" applyFill="1" applyBorder="1" applyAlignment="1" applyProtection="1">
      <alignment horizontal="center" vertical="top" wrapText="1"/>
      <protection hidden="1"/>
    </xf>
    <xf numFmtId="9" fontId="5" fillId="2" borderId="9" xfId="1" applyNumberFormat="1" applyFont="1" applyFill="1" applyBorder="1" applyAlignment="1" applyProtection="1">
      <alignment horizontal="center" vertical="top" wrapText="1"/>
      <protection hidden="1"/>
    </xf>
    <xf numFmtId="0" fontId="5" fillId="2" borderId="7" xfId="1" applyFont="1" applyFill="1" applyBorder="1" applyAlignment="1" applyProtection="1">
      <alignment horizontal="left" vertical="top" wrapText="1" indent="1"/>
      <protection hidden="1"/>
    </xf>
    <xf numFmtId="9" fontId="5" fillId="2" borderId="4" xfId="1" applyNumberFormat="1" applyFont="1" applyFill="1" applyBorder="1" applyAlignment="1" applyProtection="1">
      <alignment horizontal="center" vertical="top" wrapText="1"/>
      <protection hidden="1"/>
    </xf>
    <xf numFmtId="0" fontId="4" fillId="2" borderId="8" xfId="1" applyFont="1" applyFill="1" applyBorder="1" applyAlignment="1" applyProtection="1">
      <alignment horizontal="left" vertical="top" wrapText="1"/>
      <protection hidden="1"/>
    </xf>
    <xf numFmtId="9" fontId="5" fillId="2" borderId="7" xfId="1" applyNumberFormat="1" applyFont="1" applyFill="1" applyBorder="1" applyAlignment="1" applyProtection="1">
      <alignment horizontal="center" vertical="top" wrapText="1"/>
      <protection hidden="1"/>
    </xf>
    <xf numFmtId="165" fontId="4" fillId="2" borderId="4" xfId="1" applyNumberFormat="1" applyFont="1" applyFill="1" applyBorder="1" applyAlignment="1" applyProtection="1">
      <alignment wrapText="1"/>
      <protection hidden="1"/>
    </xf>
    <xf numFmtId="0" fontId="5" fillId="2" borderId="0" xfId="1" applyFont="1" applyFill="1" applyAlignment="1" applyProtection="1">
      <alignment horizontal="left"/>
      <protection hidden="1"/>
    </xf>
    <xf numFmtId="0" fontId="30" fillId="2" borderId="0" xfId="1" applyFont="1" applyFill="1"/>
    <xf numFmtId="0" fontId="36" fillId="2" borderId="0" xfId="1" applyFont="1" applyFill="1" applyBorder="1" applyAlignment="1" applyProtection="1">
      <alignment horizontal="left"/>
      <protection hidden="1"/>
    </xf>
    <xf numFmtId="0" fontId="30" fillId="2" borderId="0" xfId="1" applyFont="1" applyFill="1" applyBorder="1" applyProtection="1">
      <protection hidden="1"/>
    </xf>
    <xf numFmtId="0" fontId="30" fillId="2" borderId="0" xfId="1" applyFont="1" applyFill="1" applyBorder="1"/>
    <xf numFmtId="0" fontId="4" fillId="2" borderId="0" xfId="0" applyFont="1" applyFill="1" applyAlignment="1" applyProtection="1">
      <alignment horizontal="right" wrapText="1"/>
      <protection hidden="1"/>
    </xf>
    <xf numFmtId="0" fontId="4" fillId="2" borderId="0" xfId="1" applyFont="1" applyFill="1" applyAlignment="1" applyProtection="1">
      <alignment horizontal="left" vertical="top" wrapText="1"/>
      <protection hidden="1"/>
    </xf>
    <xf numFmtId="0" fontId="30" fillId="2" borderId="0" xfId="1" applyFont="1" applyFill="1" applyAlignment="1" applyProtection="1">
      <alignment wrapText="1"/>
      <protection hidden="1"/>
    </xf>
    <xf numFmtId="0" fontId="30" fillId="2" borderId="0" xfId="1" applyFont="1" applyFill="1" applyProtection="1">
      <protection hidden="1"/>
    </xf>
    <xf numFmtId="0" fontId="34" fillId="2" borderId="0" xfId="2" applyFont="1" applyFill="1" applyAlignment="1" applyProtection="1">
      <alignment horizontal="left" wrapText="1"/>
      <protection hidden="1"/>
    </xf>
    <xf numFmtId="0" fontId="34" fillId="2" borderId="0" xfId="2" applyFont="1" applyFill="1" applyAlignment="1" applyProtection="1">
      <alignment horizontal="left" indent="1"/>
      <protection hidden="1"/>
    </xf>
    <xf numFmtId="0" fontId="7" fillId="2" borderId="0" xfId="2" applyFill="1" applyAlignment="1" applyProtection="1">
      <alignment horizontal="left" indent="1"/>
      <protection hidden="1"/>
    </xf>
    <xf numFmtId="0" fontId="7" fillId="2" borderId="0" xfId="2" applyFill="1" applyBorder="1" applyAlignment="1" applyProtection="1">
      <alignment wrapText="1"/>
      <protection hidden="1"/>
    </xf>
    <xf numFmtId="0" fontId="18" fillId="3" borderId="0" xfId="1" applyFont="1" applyFill="1" applyAlignment="1" applyProtection="1">
      <alignment horizontal="right" wrapText="1"/>
      <protection hidden="1"/>
    </xf>
    <xf numFmtId="0" fontId="40" fillId="2" borderId="0" xfId="0" applyFont="1" applyFill="1" applyBorder="1" applyAlignment="1" applyProtection="1"/>
    <xf numFmtId="0" fontId="40" fillId="2" borderId="0" xfId="0" applyFont="1" applyFill="1" applyBorder="1" applyAlignment="1" applyProtection="1">
      <alignment horizontal="center"/>
    </xf>
    <xf numFmtId="0" fontId="5" fillId="0" borderId="0" xfId="0" applyFont="1" applyBorder="1" applyAlignment="1" applyProtection="1">
      <alignment vertical="top" wrapText="1"/>
      <protection hidden="1"/>
    </xf>
    <xf numFmtId="0" fontId="18" fillId="3" borderId="0" xfId="1" applyFont="1" applyFill="1" applyBorder="1" applyAlignment="1" applyProtection="1">
      <alignment horizontal="right" wrapText="1"/>
      <protection hidden="1"/>
    </xf>
    <xf numFmtId="168" fontId="5" fillId="2" borderId="0" xfId="0" applyNumberFormat="1" applyFont="1" applyFill="1" applyAlignment="1" applyProtection="1">
      <alignment horizontal="right"/>
      <protection hidden="1"/>
    </xf>
    <xf numFmtId="167" fontId="5" fillId="2" borderId="0" xfId="0" applyNumberFormat="1" applyFont="1" applyFill="1" applyAlignment="1" applyProtection="1">
      <alignment horizontal="right"/>
      <protection hidden="1"/>
    </xf>
    <xf numFmtId="167" fontId="5" fillId="2" borderId="0" xfId="0" applyNumberFormat="1" applyFont="1" applyFill="1" applyBorder="1" applyAlignment="1" applyProtection="1">
      <alignment horizontal="right"/>
      <protection hidden="1"/>
    </xf>
    <xf numFmtId="0" fontId="18" fillId="3" borderId="0" xfId="1" applyFont="1" applyFill="1" applyBorder="1" applyAlignment="1" applyProtection="1">
      <alignment wrapText="1"/>
      <protection hidden="1"/>
    </xf>
    <xf numFmtId="0" fontId="0" fillId="2" borderId="0" xfId="1" applyFont="1" applyFill="1" applyProtection="1">
      <protection hidden="1"/>
    </xf>
    <xf numFmtId="0" fontId="0" fillId="2" borderId="0" xfId="1" applyFont="1" applyFill="1" applyBorder="1"/>
    <xf numFmtId="0" fontId="5" fillId="2" borderId="0" xfId="1" applyFont="1" applyFill="1" applyAlignment="1" applyProtection="1">
      <alignment horizontal="center" wrapText="1"/>
      <protection hidden="1"/>
    </xf>
    <xf numFmtId="165" fontId="5" fillId="2" borderId="0" xfId="5" applyNumberFormat="1" applyFont="1" applyFill="1" applyBorder="1" applyAlignment="1" applyProtection="1">
      <alignment horizontal="right" wrapText="1"/>
      <protection hidden="1"/>
    </xf>
    <xf numFmtId="165" fontId="5" fillId="2" borderId="0" xfId="1" applyNumberFormat="1" applyFont="1" applyFill="1" applyAlignment="1" applyProtection="1">
      <alignment horizontal="right" wrapText="1"/>
      <protection hidden="1"/>
    </xf>
    <xf numFmtId="165" fontId="5" fillId="2" borderId="1" xfId="1" applyNumberFormat="1" applyFont="1" applyFill="1" applyBorder="1" applyAlignment="1" applyProtection="1">
      <alignment horizontal="right" wrapText="1"/>
      <protection hidden="1"/>
    </xf>
    <xf numFmtId="165" fontId="5" fillId="2" borderId="0" xfId="1" applyNumberFormat="1" applyFont="1" applyFill="1" applyBorder="1" applyAlignment="1" applyProtection="1">
      <alignment horizontal="right" wrapText="1"/>
      <protection hidden="1"/>
    </xf>
    <xf numFmtId="165" fontId="5" fillId="2" borderId="4" xfId="1" applyNumberFormat="1" applyFont="1" applyFill="1" applyBorder="1" applyAlignment="1" applyProtection="1">
      <alignment horizontal="right" wrapText="1"/>
      <protection hidden="1"/>
    </xf>
    <xf numFmtId="0" fontId="0" fillId="2" borderId="0" xfId="1" applyFont="1" applyFill="1" applyBorder="1" applyProtection="1">
      <protection hidden="1"/>
    </xf>
    <xf numFmtId="0" fontId="5" fillId="2" borderId="0" xfId="1" applyFont="1" applyFill="1" applyAlignment="1" applyProtection="1">
      <alignment horizontal="right" wrapText="1"/>
      <protection hidden="1"/>
    </xf>
    <xf numFmtId="0" fontId="5" fillId="2" borderId="3" xfId="1" applyFont="1" applyFill="1" applyBorder="1" applyAlignment="1" applyProtection="1">
      <alignment wrapText="1"/>
      <protection hidden="1"/>
    </xf>
    <xf numFmtId="0" fontId="5" fillId="2" borderId="1" xfId="1" applyFont="1" applyFill="1" applyBorder="1" applyAlignment="1" applyProtection="1">
      <alignment vertical="top" wrapText="1"/>
      <protection hidden="1"/>
    </xf>
    <xf numFmtId="0" fontId="5" fillId="2" borderId="1" xfId="0" applyFont="1" applyFill="1" applyBorder="1" applyAlignment="1" applyProtection="1">
      <alignment wrapText="1"/>
      <protection hidden="1"/>
    </xf>
    <xf numFmtId="0" fontId="5" fillId="2" borderId="1" xfId="0" applyFont="1" applyFill="1" applyBorder="1" applyAlignment="1" applyProtection="1">
      <alignment horizontal="right" wrapText="1"/>
      <protection hidden="1"/>
    </xf>
    <xf numFmtId="0" fontId="5" fillId="2" borderId="1" xfId="0" applyFont="1" applyFill="1" applyBorder="1" applyAlignment="1" applyProtection="1">
      <alignment horizontal="right"/>
      <protection hidden="1"/>
    </xf>
    <xf numFmtId="0" fontId="5" fillId="2" borderId="7" xfId="1" applyFont="1" applyFill="1" applyBorder="1" applyAlignment="1" applyProtection="1">
      <alignment vertical="top" wrapText="1"/>
      <protection hidden="1"/>
    </xf>
    <xf numFmtId="0" fontId="0" fillId="2" borderId="7" xfId="1" applyFont="1" applyFill="1" applyBorder="1" applyProtection="1">
      <protection hidden="1"/>
    </xf>
    <xf numFmtId="0" fontId="4" fillId="2" borderId="2" xfId="1" applyFont="1" applyFill="1" applyBorder="1" applyAlignment="1" applyProtection="1">
      <alignment vertical="top" wrapText="1"/>
      <protection hidden="1"/>
    </xf>
    <xf numFmtId="0" fontId="5" fillId="2" borderId="2" xfId="1" applyFont="1" applyFill="1" applyBorder="1" applyAlignment="1" applyProtection="1">
      <alignment vertical="top" wrapText="1"/>
      <protection hidden="1"/>
    </xf>
    <xf numFmtId="0" fontId="5" fillId="2" borderId="2" xfId="1" applyFont="1" applyFill="1" applyBorder="1" applyAlignment="1" applyProtection="1">
      <alignment horizontal="center" vertical="top" wrapText="1"/>
      <protection hidden="1"/>
    </xf>
    <xf numFmtId="0" fontId="5" fillId="2" borderId="2" xfId="1" applyFont="1" applyFill="1" applyBorder="1" applyAlignment="1" applyProtection="1">
      <alignment horizontal="center" vertical="top"/>
      <protection hidden="1"/>
    </xf>
    <xf numFmtId="0" fontId="4" fillId="2" borderId="6" xfId="1" applyFont="1" applyFill="1" applyBorder="1" applyAlignment="1" applyProtection="1">
      <alignment vertical="top" wrapText="1"/>
      <protection hidden="1"/>
    </xf>
    <xf numFmtId="0" fontId="5" fillId="2" borderId="6" xfId="1" applyFont="1" applyFill="1" applyBorder="1" applyAlignment="1" applyProtection="1">
      <alignment vertical="top" wrapText="1"/>
      <protection hidden="1"/>
    </xf>
    <xf numFmtId="0" fontId="4" fillId="2" borderId="7" xfId="1" applyFont="1" applyFill="1" applyBorder="1" applyAlignment="1" applyProtection="1">
      <alignment vertical="top" wrapText="1"/>
      <protection hidden="1"/>
    </xf>
    <xf numFmtId="0" fontId="5" fillId="2" borderId="7" xfId="1" applyFont="1" applyFill="1" applyBorder="1" applyAlignment="1" applyProtection="1">
      <alignment horizontal="center" vertical="top" wrapText="1"/>
      <protection hidden="1"/>
    </xf>
    <xf numFmtId="0" fontId="5" fillId="2" borderId="6" xfId="1" applyFont="1" applyFill="1" applyBorder="1" applyAlignment="1" applyProtection="1">
      <alignment horizontal="center" vertical="top" wrapText="1"/>
      <protection hidden="1"/>
    </xf>
    <xf numFmtId="0" fontId="30" fillId="2" borderId="7" xfId="1" applyFont="1" applyFill="1" applyBorder="1" applyAlignment="1" applyProtection="1">
      <alignment vertical="top" wrapText="1"/>
      <protection hidden="1"/>
    </xf>
    <xf numFmtId="0" fontId="5" fillId="2" borderId="7" xfId="1" applyFont="1" applyFill="1" applyBorder="1" applyAlignment="1" applyProtection="1">
      <alignment horizontal="left" vertical="top" wrapText="1"/>
      <protection hidden="1"/>
    </xf>
    <xf numFmtId="0" fontId="5" fillId="2" borderId="2" xfId="1" applyFont="1" applyFill="1" applyBorder="1" applyAlignment="1" applyProtection="1">
      <alignment horizontal="left" vertical="top" wrapText="1"/>
      <protection hidden="1"/>
    </xf>
    <xf numFmtId="0" fontId="35" fillId="2" borderId="0" xfId="1" applyFont="1" applyFill="1" applyAlignment="1" applyProtection="1">
      <alignment horizontal="center"/>
      <protection hidden="1"/>
    </xf>
    <xf numFmtId="0" fontId="40" fillId="2" borderId="0" xfId="2" applyFont="1" applyFill="1" applyBorder="1" applyAlignment="1" applyProtection="1">
      <alignment horizontal="left"/>
    </xf>
    <xf numFmtId="0" fontId="18" fillId="3" borderId="0" xfId="1" applyFont="1" applyFill="1" applyAlignment="1" applyProtection="1">
      <alignment horizontal="center" wrapText="1"/>
      <protection hidden="1"/>
    </xf>
    <xf numFmtId="0" fontId="5" fillId="2" borderId="8" xfId="1" applyFont="1" applyFill="1" applyBorder="1" applyAlignment="1" applyProtection="1">
      <alignment horizontal="left" wrapText="1"/>
      <protection hidden="1"/>
    </xf>
    <xf numFmtId="0" fontId="5" fillId="2" borderId="0" xfId="1" applyFont="1" applyFill="1" applyAlignment="1" applyProtection="1">
      <alignment horizontal="left" wrapText="1"/>
      <protection hidden="1"/>
    </xf>
    <xf numFmtId="0" fontId="18" fillId="3" borderId="0" xfId="1" applyFont="1" applyFill="1" applyAlignment="1" applyProtection="1">
      <alignment horizontal="center"/>
      <protection hidden="1"/>
    </xf>
    <xf numFmtId="0" fontId="5" fillId="2" borderId="0" xfId="1" applyFont="1" applyFill="1" applyBorder="1" applyAlignment="1" applyProtection="1">
      <alignment horizontal="left"/>
      <protection hidden="1"/>
    </xf>
    <xf numFmtId="0" fontId="14" fillId="2" borderId="0" xfId="1" applyFont="1" applyFill="1" applyAlignment="1" applyProtection="1">
      <alignment horizontal="left" wrapText="1"/>
      <protection hidden="1"/>
    </xf>
    <xf numFmtId="0" fontId="5" fillId="2" borderId="0" xfId="1" applyFont="1" applyFill="1" applyAlignment="1" applyProtection="1">
      <alignment horizontal="left"/>
      <protection hidden="1"/>
    </xf>
    <xf numFmtId="0" fontId="21" fillId="3" borderId="0" xfId="1" applyFont="1" applyFill="1" applyAlignment="1" applyProtection="1">
      <alignment wrapText="1"/>
      <protection hidden="1"/>
    </xf>
    <xf numFmtId="0" fontId="5" fillId="2" borderId="8" xfId="1" applyFont="1" applyFill="1" applyBorder="1" applyAlignment="1" applyProtection="1">
      <alignment horizontal="left"/>
      <protection hidden="1"/>
    </xf>
    <xf numFmtId="0" fontId="21" fillId="3" borderId="0" xfId="1" applyFont="1" applyFill="1" applyAlignment="1" applyProtection="1">
      <alignment horizontal="center" wrapText="1"/>
      <protection hidden="1"/>
    </xf>
    <xf numFmtId="0" fontId="21" fillId="2" borderId="0" xfId="1" applyFont="1" applyFill="1" applyAlignment="1" applyProtection="1">
      <alignment horizontal="center" wrapText="1"/>
      <protection hidden="1"/>
    </xf>
    <xf numFmtId="0" fontId="5" fillId="0" borderId="0" xfId="1" applyFont="1" applyAlignment="1" applyProtection="1">
      <alignment horizontal="left"/>
      <protection hidden="1"/>
    </xf>
    <xf numFmtId="165" fontId="5" fillId="2" borderId="0" xfId="1" applyNumberFormat="1" applyFont="1" applyFill="1" applyAlignment="1" applyProtection="1">
      <alignment horizontal="center" wrapText="1"/>
      <protection hidden="1"/>
    </xf>
    <xf numFmtId="0" fontId="5" fillId="2" borderId="0" xfId="1" applyFont="1" applyFill="1" applyProtection="1">
      <protection hidden="1"/>
    </xf>
    <xf numFmtId="0" fontId="21" fillId="3" borderId="3" xfId="1" applyFont="1" applyFill="1" applyBorder="1" applyAlignment="1" applyProtection="1">
      <alignment horizontal="center" wrapText="1"/>
      <protection hidden="1"/>
    </xf>
    <xf numFmtId="0" fontId="4" fillId="2" borderId="0" xfId="1" applyFont="1" applyFill="1" applyBorder="1" applyAlignment="1" applyProtection="1">
      <alignment wrapText="1"/>
      <protection hidden="1"/>
    </xf>
    <xf numFmtId="0" fontId="5" fillId="2" borderId="0" xfId="1" applyFont="1" applyFill="1" applyAlignment="1" applyProtection="1">
      <alignment horizontal="center" wrapText="1"/>
      <protection hidden="1"/>
    </xf>
    <xf numFmtId="0" fontId="4" fillId="2" borderId="0" xfId="1" applyFont="1" applyFill="1" applyAlignment="1" applyProtection="1">
      <alignment wrapText="1"/>
      <protection hidden="1"/>
    </xf>
    <xf numFmtId="0" fontId="5" fillId="0" borderId="0" xfId="1" applyFont="1" applyProtection="1">
      <protection hidden="1"/>
    </xf>
    <xf numFmtId="0" fontId="18" fillId="3" borderId="0" xfId="1" applyFont="1" applyFill="1" applyBorder="1" applyAlignment="1" applyProtection="1">
      <alignment horizontal="center" wrapText="1"/>
      <protection hidden="1"/>
    </xf>
    <xf numFmtId="0" fontId="21" fillId="3" borderId="0" xfId="1" applyFont="1" applyFill="1" applyBorder="1" applyAlignment="1" applyProtection="1">
      <alignment horizontal="center" wrapText="1"/>
      <protection hidden="1"/>
    </xf>
    <xf numFmtId="0" fontId="4" fillId="2" borderId="0" xfId="1" applyFont="1" applyFill="1" applyBorder="1" applyAlignment="1" applyProtection="1">
      <alignment horizontal="left" wrapText="1"/>
      <protection hidden="1"/>
    </xf>
    <xf numFmtId="0" fontId="4" fillId="2" borderId="0" xfId="1" applyFont="1" applyFill="1" applyAlignment="1" applyProtection="1">
      <alignment horizontal="left" wrapText="1"/>
      <protection hidden="1"/>
    </xf>
    <xf numFmtId="0" fontId="18" fillId="3" borderId="0" xfId="1" applyFont="1" applyFill="1" applyAlignment="1" applyProtection="1">
      <alignment horizontal="center" vertical="top" wrapText="1"/>
      <protection hidden="1"/>
    </xf>
    <xf numFmtId="0" fontId="18" fillId="3" borderId="0" xfId="1" applyFont="1" applyFill="1" applyAlignment="1" applyProtection="1">
      <alignment wrapText="1"/>
      <protection hidden="1"/>
    </xf>
    <xf numFmtId="0" fontId="5" fillId="2" borderId="0" xfId="1" applyFont="1" applyFill="1" applyBorder="1" applyAlignment="1" applyProtection="1">
      <alignment horizontal="left" wrapText="1"/>
      <protection hidden="1"/>
    </xf>
    <xf numFmtId="0" fontId="14" fillId="0" borderId="0" xfId="1" applyFont="1" applyAlignment="1" applyProtection="1">
      <alignment horizontal="left" wrapText="1"/>
      <protection hidden="1"/>
    </xf>
    <xf numFmtId="0" fontId="4" fillId="2" borderId="12" xfId="1" applyFont="1" applyFill="1" applyBorder="1" applyAlignment="1" applyProtection="1">
      <alignment horizontal="left" vertical="top" wrapText="1"/>
      <protection hidden="1"/>
    </xf>
    <xf numFmtId="0" fontId="5" fillId="2" borderId="9" xfId="1" applyFont="1" applyFill="1" applyBorder="1" applyAlignment="1" applyProtection="1">
      <alignment horizontal="left" vertical="top" wrapText="1"/>
      <protection hidden="1"/>
    </xf>
    <xf numFmtId="0" fontId="5" fillId="2" borderId="6" xfId="1" applyFont="1" applyFill="1" applyBorder="1" applyAlignment="1" applyProtection="1">
      <alignment horizontal="left" vertical="top" wrapText="1"/>
      <protection hidden="1"/>
    </xf>
    <xf numFmtId="0" fontId="5" fillId="2" borderId="7" xfId="1" applyFont="1" applyFill="1" applyBorder="1" applyAlignment="1" applyProtection="1">
      <alignment horizontal="left" vertical="top" wrapText="1"/>
      <protection hidden="1"/>
    </xf>
    <xf numFmtId="0" fontId="5" fillId="2" borderId="2" xfId="1" applyFont="1" applyFill="1" applyBorder="1" applyAlignment="1" applyProtection="1">
      <alignment horizontal="left" vertical="top" wrapText="1"/>
      <protection hidden="1"/>
    </xf>
    <xf numFmtId="0" fontId="5" fillId="2" borderId="0" xfId="1" applyFont="1" applyFill="1" applyBorder="1" applyAlignment="1" applyProtection="1">
      <alignment horizontal="left" vertical="top" wrapText="1"/>
      <protection hidden="1"/>
    </xf>
    <xf numFmtId="0" fontId="4" fillId="0" borderId="8" xfId="1" applyFont="1" applyBorder="1" applyAlignment="1" applyProtection="1">
      <alignment horizontal="left"/>
      <protection hidden="1"/>
    </xf>
    <xf numFmtId="0" fontId="18" fillId="3" borderId="0" xfId="1" applyFont="1" applyFill="1" applyAlignment="1" applyProtection="1">
      <alignment horizontal="center" vertical="center" wrapText="1"/>
      <protection hidden="1"/>
    </xf>
    <xf numFmtId="9" fontId="5" fillId="2" borderId="6" xfId="1" applyNumberFormat="1" applyFont="1" applyFill="1" applyBorder="1" applyAlignment="1" applyProtection="1">
      <alignment horizontal="center" vertical="top" wrapText="1"/>
      <protection hidden="1"/>
    </xf>
    <xf numFmtId="9" fontId="5" fillId="2" borderId="0" xfId="1" applyNumberFormat="1" applyFont="1" applyFill="1" applyBorder="1" applyAlignment="1" applyProtection="1">
      <alignment horizontal="center" vertical="top" wrapText="1"/>
      <protection hidden="1"/>
    </xf>
    <xf numFmtId="0" fontId="30" fillId="0" borderId="6" xfId="1" applyFont="1" applyBorder="1" applyAlignment="1" applyProtection="1">
      <alignment horizontal="left"/>
      <protection hidden="1"/>
    </xf>
    <xf numFmtId="0" fontId="0" fillId="0" borderId="0" xfId="1" applyFont="1" applyBorder="1" applyAlignment="1" applyProtection="1">
      <alignment horizontal="left"/>
      <protection hidden="1"/>
    </xf>
    <xf numFmtId="0" fontId="4" fillId="2" borderId="0" xfId="1" applyFont="1" applyFill="1" applyBorder="1" applyAlignment="1" applyProtection="1">
      <alignment horizontal="left" vertical="top" wrapText="1"/>
      <protection hidden="1"/>
    </xf>
    <xf numFmtId="0" fontId="12" fillId="2" borderId="8" xfId="1" applyFont="1" applyFill="1" applyBorder="1" applyAlignment="1" applyProtection="1">
      <alignment horizontal="left" wrapText="1"/>
      <protection hidden="1"/>
    </xf>
    <xf numFmtId="0" fontId="5" fillId="2" borderId="4" xfId="1" applyFont="1" applyFill="1" applyBorder="1" applyAlignment="1" applyProtection="1">
      <alignment horizontal="left" vertical="top" wrapText="1"/>
      <protection hidden="1"/>
    </xf>
    <xf numFmtId="0" fontId="5" fillId="2" borderId="2" xfId="0" applyFont="1" applyFill="1" applyBorder="1" applyAlignment="1" applyProtection="1">
      <alignment horizontal="left" vertical="top" wrapText="1"/>
      <protection hidden="1"/>
    </xf>
    <xf numFmtId="0" fontId="5" fillId="2" borderId="8" xfId="1" applyFont="1" applyFill="1" applyBorder="1" applyAlignment="1" applyProtection="1">
      <alignment horizontal="center" wrapText="1"/>
      <protection hidden="1"/>
    </xf>
    <xf numFmtId="0" fontId="4" fillId="0" borderId="8" xfId="3" applyFont="1" applyBorder="1" applyAlignment="1" applyProtection="1">
      <alignment horizontal="center" wrapText="1"/>
      <protection hidden="1"/>
    </xf>
    <xf numFmtId="0" fontId="4" fillId="2" borderId="0" xfId="1" applyFont="1" applyFill="1" applyAlignment="1" applyProtection="1">
      <alignment horizontal="center" wrapText="1"/>
      <protection hidden="1"/>
    </xf>
    <xf numFmtId="165" fontId="4" fillId="0" borderId="8" xfId="3" applyNumberFormat="1" applyFont="1" applyFill="1" applyBorder="1" applyAlignment="1" applyProtection="1">
      <alignment horizontal="center" wrapText="1"/>
      <protection hidden="1"/>
    </xf>
    <xf numFmtId="0" fontId="4" fillId="2" borderId="8" xfId="1" applyFont="1" applyFill="1" applyBorder="1" applyAlignment="1" applyProtection="1">
      <alignment horizontal="center" wrapText="1"/>
      <protection hidden="1"/>
    </xf>
    <xf numFmtId="166" fontId="4" fillId="2" borderId="0" xfId="5" applyNumberFormat="1" applyFont="1" applyFill="1" applyBorder="1" applyAlignment="1" applyProtection="1">
      <alignment horizontal="center" wrapText="1"/>
      <protection hidden="1"/>
    </xf>
    <xf numFmtId="0" fontId="4" fillId="2" borderId="0" xfId="1" applyFont="1" applyFill="1" applyBorder="1" applyAlignment="1" applyProtection="1">
      <alignment horizontal="center" wrapText="1"/>
      <protection hidden="1"/>
    </xf>
    <xf numFmtId="0" fontId="4" fillId="2" borderId="6" xfId="1" applyFont="1" applyFill="1" applyBorder="1" applyAlignment="1" applyProtection="1">
      <alignment vertical="top" wrapText="1"/>
      <protection hidden="1"/>
    </xf>
    <xf numFmtId="0" fontId="4" fillId="2" borderId="0" xfId="1" applyFont="1" applyFill="1" applyBorder="1" applyAlignment="1" applyProtection="1">
      <alignment vertical="top" wrapText="1"/>
      <protection hidden="1"/>
    </xf>
    <xf numFmtId="0" fontId="4" fillId="2" borderId="7" xfId="1" applyFont="1" applyFill="1" applyBorder="1" applyAlignment="1" applyProtection="1">
      <alignment vertical="top" wrapText="1"/>
      <protection hidden="1"/>
    </xf>
    <xf numFmtId="0" fontId="5" fillId="2" borderId="6" xfId="1" applyFont="1" applyFill="1" applyBorder="1" applyAlignment="1" applyProtection="1">
      <alignment vertical="top" wrapText="1"/>
      <protection hidden="1"/>
    </xf>
    <xf numFmtId="0" fontId="5" fillId="2" borderId="0" xfId="1" applyFont="1" applyFill="1" applyBorder="1" applyAlignment="1" applyProtection="1">
      <alignment vertical="top" wrapText="1"/>
      <protection hidden="1"/>
    </xf>
    <xf numFmtId="0" fontId="5" fillId="2" borderId="0" xfId="0" applyFont="1" applyFill="1" applyBorder="1" applyAlignment="1" applyProtection="1">
      <alignment horizontal="left" vertical="top" wrapText="1"/>
      <protection hidden="1"/>
    </xf>
    <xf numFmtId="0" fontId="5" fillId="2" borderId="6" xfId="1" applyFont="1" applyFill="1" applyBorder="1" applyAlignment="1" applyProtection="1">
      <alignment horizontal="center" vertical="top" wrapText="1"/>
      <protection hidden="1"/>
    </xf>
    <xf numFmtId="0" fontId="5" fillId="2" borderId="0" xfId="1" applyFont="1" applyFill="1" applyBorder="1" applyAlignment="1" applyProtection="1">
      <alignment horizontal="center" vertical="top" wrapText="1"/>
      <protection hidden="1"/>
    </xf>
    <xf numFmtId="0" fontId="5" fillId="2" borderId="7" xfId="1" applyFont="1" applyFill="1" applyBorder="1" applyAlignment="1" applyProtection="1">
      <alignment horizontal="center" vertical="top" wrapText="1"/>
      <protection hidden="1"/>
    </xf>
    <xf numFmtId="0" fontId="5" fillId="2" borderId="7" xfId="1" applyFont="1" applyFill="1" applyBorder="1" applyAlignment="1" applyProtection="1">
      <alignment vertical="top" wrapText="1"/>
      <protection hidden="1"/>
    </xf>
    <xf numFmtId="0" fontId="4" fillId="2" borderId="0" xfId="1" applyFont="1" applyFill="1" applyAlignment="1" applyProtection="1">
      <alignment vertical="top" wrapText="1"/>
      <protection hidden="1"/>
    </xf>
    <xf numFmtId="0" fontId="5" fillId="2" borderId="2" xfId="1" applyFont="1" applyFill="1" applyBorder="1" applyAlignment="1" applyProtection="1">
      <alignment vertical="top" wrapText="1"/>
      <protection hidden="1"/>
    </xf>
    <xf numFmtId="0" fontId="5" fillId="2" borderId="2" xfId="1" applyFont="1" applyFill="1" applyBorder="1" applyAlignment="1" applyProtection="1">
      <alignment horizontal="center" vertical="top" wrapText="1"/>
      <protection hidden="1"/>
    </xf>
    <xf numFmtId="0" fontId="4" fillId="2" borderId="8" xfId="1" applyFont="1" applyFill="1" applyBorder="1" applyAlignment="1" applyProtection="1">
      <alignment vertical="top" wrapText="1"/>
      <protection hidden="1"/>
    </xf>
    <xf numFmtId="0" fontId="4" fillId="2" borderId="12" xfId="1" applyFont="1" applyFill="1" applyBorder="1" applyAlignment="1" applyProtection="1">
      <alignment vertical="top" wrapText="1"/>
      <protection hidden="1"/>
    </xf>
    <xf numFmtId="165" fontId="5" fillId="2" borderId="0" xfId="1" applyNumberFormat="1" applyFont="1" applyFill="1" applyAlignment="1" applyProtection="1">
      <alignment wrapText="1"/>
      <protection hidden="1"/>
    </xf>
    <xf numFmtId="0" fontId="14" fillId="0" borderId="8" xfId="1" applyFont="1" applyBorder="1" applyAlignment="1" applyProtection="1">
      <alignment horizontal="left" wrapText="1"/>
      <protection hidden="1"/>
    </xf>
    <xf numFmtId="0" fontId="14" fillId="0" borderId="0" xfId="1" applyFont="1" applyBorder="1" applyAlignment="1" applyProtection="1">
      <alignment horizontal="left" wrapText="1"/>
      <protection hidden="1"/>
    </xf>
    <xf numFmtId="165" fontId="4" fillId="2" borderId="4" xfId="1" applyNumberFormat="1" applyFont="1" applyFill="1" applyBorder="1" applyAlignment="1" applyProtection="1">
      <alignment wrapText="1"/>
      <protection hidden="1"/>
    </xf>
    <xf numFmtId="0" fontId="18" fillId="3" borderId="0" xfId="1" applyFont="1" applyFill="1" applyAlignment="1" applyProtection="1">
      <alignment horizontal="right" wrapText="1"/>
      <protection hidden="1"/>
    </xf>
    <xf numFmtId="0" fontId="14" fillId="2" borderId="0" xfId="1" applyFont="1" applyFill="1" applyAlignment="1" applyProtection="1">
      <alignment horizontal="left"/>
      <protection hidden="1"/>
    </xf>
    <xf numFmtId="0" fontId="14" fillId="2" borderId="8" xfId="1" applyFont="1" applyFill="1" applyBorder="1" applyAlignment="1" applyProtection="1">
      <alignment horizontal="left" wrapText="1"/>
      <protection hidden="1"/>
    </xf>
    <xf numFmtId="0" fontId="5" fillId="2" borderId="3" xfId="1" applyFont="1" applyFill="1" applyBorder="1" applyAlignment="1" applyProtection="1">
      <alignment vertical="top" wrapText="1"/>
      <protection hidden="1"/>
    </xf>
    <xf numFmtId="0" fontId="5" fillId="2" borderId="1" xfId="1" applyFont="1" applyFill="1" applyBorder="1" applyAlignment="1" applyProtection="1">
      <alignment vertical="top" wrapText="1"/>
      <protection hidden="1"/>
    </xf>
    <xf numFmtId="0" fontId="5" fillId="2" borderId="3" xfId="1" applyFont="1" applyFill="1" applyBorder="1" applyAlignment="1" applyProtection="1">
      <alignment horizontal="left" vertical="top" wrapText="1"/>
      <protection hidden="1"/>
    </xf>
    <xf numFmtId="0" fontId="5" fillId="2" borderId="1" xfId="1" applyFont="1" applyFill="1" applyBorder="1" applyAlignment="1" applyProtection="1">
      <alignment horizontal="left" vertical="top" wrapText="1"/>
      <protection hidden="1"/>
    </xf>
    <xf numFmtId="0" fontId="5" fillId="2" borderId="3" xfId="1" applyFont="1" applyFill="1" applyBorder="1" applyAlignment="1" applyProtection="1">
      <alignment horizontal="center" vertical="top" wrapText="1"/>
      <protection hidden="1"/>
    </xf>
    <xf numFmtId="0" fontId="5" fillId="2" borderId="1" xfId="1" applyFont="1" applyFill="1" applyBorder="1" applyAlignment="1" applyProtection="1">
      <alignment horizontal="center" vertical="top" wrapText="1"/>
      <protection hidden="1"/>
    </xf>
    <xf numFmtId="0" fontId="5" fillId="2" borderId="0" xfId="1" applyFont="1" applyFill="1" applyAlignment="1" applyProtection="1">
      <alignment horizontal="center" vertical="top" wrapText="1"/>
      <protection hidden="1"/>
    </xf>
    <xf numFmtId="0" fontId="5" fillId="2" borderId="0" xfId="1" applyFont="1" applyFill="1" applyAlignment="1" applyProtection="1">
      <alignment vertical="top" wrapText="1"/>
      <protection hidden="1"/>
    </xf>
    <xf numFmtId="0" fontId="14" fillId="2" borderId="0" xfId="1" applyFont="1" applyFill="1" applyBorder="1" applyAlignment="1" applyProtection="1">
      <alignment horizontal="left" wrapText="1"/>
      <protection hidden="1"/>
    </xf>
    <xf numFmtId="0" fontId="14" fillId="2" borderId="0" xfId="1" applyFont="1" applyFill="1" applyBorder="1" applyAlignment="1" applyProtection="1">
      <alignment horizontal="left" vertical="top" wrapText="1"/>
      <protection hidden="1"/>
    </xf>
    <xf numFmtId="0" fontId="12" fillId="0" borderId="8" xfId="1" applyFont="1" applyBorder="1" applyAlignment="1" applyProtection="1">
      <alignment horizontal="justify"/>
      <protection hidden="1"/>
    </xf>
    <xf numFmtId="0" fontId="14" fillId="0" borderId="0" xfId="1" applyFont="1" applyAlignment="1" applyProtection="1">
      <alignment horizontal="left"/>
      <protection hidden="1"/>
    </xf>
    <xf numFmtId="0" fontId="18" fillId="3" borderId="0" xfId="1" applyFont="1" applyFill="1" applyBorder="1" applyAlignment="1" applyProtection="1">
      <alignment horizontal="left" wrapText="1"/>
      <protection hidden="1"/>
    </xf>
    <xf numFmtId="0" fontId="18" fillId="3" borderId="0" xfId="1" applyFont="1" applyFill="1" applyAlignment="1" applyProtection="1">
      <alignment horizontal="left" wrapText="1"/>
      <protection hidden="1"/>
    </xf>
    <xf numFmtId="0" fontId="4" fillId="2" borderId="0" xfId="1" applyFont="1" applyFill="1" applyAlignment="1" applyProtection="1">
      <alignment horizontal="left" vertical="top" wrapText="1" indent="2"/>
      <protection hidden="1"/>
    </xf>
    <xf numFmtId="0" fontId="43" fillId="2" borderId="8" xfId="1" applyFont="1" applyFill="1" applyBorder="1" applyAlignment="1" applyProtection="1">
      <alignment vertical="top" wrapText="1"/>
      <protection hidden="1"/>
    </xf>
    <xf numFmtId="0" fontId="5" fillId="2" borderId="0" xfId="1" applyFont="1" applyFill="1" applyAlignment="1" applyProtection="1">
      <alignment horizontal="left" vertical="center" wrapText="1"/>
      <protection hidden="1"/>
    </xf>
    <xf numFmtId="0" fontId="5" fillId="2" borderId="4" xfId="1" applyFont="1" applyFill="1" applyBorder="1" applyAlignment="1" applyProtection="1">
      <alignment horizontal="left" vertical="center" wrapText="1"/>
      <protection hidden="1"/>
    </xf>
    <xf numFmtId="0" fontId="43" fillId="2" borderId="8" xfId="1" applyFont="1" applyFill="1" applyBorder="1" applyAlignment="1" applyProtection="1">
      <alignment horizontal="center" vertical="top" wrapText="1"/>
      <protection hidden="1"/>
    </xf>
    <xf numFmtId="0" fontId="5" fillId="2" borderId="3" xfId="1" applyFont="1" applyFill="1" applyBorder="1" applyAlignment="1" applyProtection="1">
      <alignment horizontal="justify" vertical="top" wrapText="1"/>
      <protection hidden="1"/>
    </xf>
    <xf numFmtId="0" fontId="5" fillId="2" borderId="1" xfId="1" applyFont="1" applyFill="1" applyBorder="1" applyAlignment="1" applyProtection="1">
      <alignment horizontal="justify" vertical="top" wrapText="1"/>
      <protection hidden="1"/>
    </xf>
    <xf numFmtId="0" fontId="4" fillId="2" borderId="0" xfId="1" applyFont="1" applyFill="1" applyAlignment="1" applyProtection="1">
      <alignment horizontal="center" vertical="top" wrapText="1"/>
      <protection hidden="1"/>
    </xf>
    <xf numFmtId="0" fontId="5" fillId="2" borderId="8" xfId="1" applyFont="1" applyFill="1" applyBorder="1" applyAlignment="1" applyProtection="1">
      <protection hidden="1"/>
    </xf>
    <xf numFmtId="0" fontId="5" fillId="2" borderId="0" xfId="1" applyFont="1" applyFill="1" applyAlignment="1" applyProtection="1">
      <protection hidden="1"/>
    </xf>
    <xf numFmtId="0" fontId="5" fillId="2" borderId="8" xfId="1" applyFont="1" applyFill="1" applyBorder="1" applyAlignment="1" applyProtection="1">
      <alignment horizontal="justify"/>
      <protection hidden="1"/>
    </xf>
    <xf numFmtId="0" fontId="18" fillId="3" borderId="0" xfId="0" applyFont="1" applyFill="1" applyAlignment="1" applyProtection="1">
      <alignment horizontal="center" wrapText="1"/>
      <protection hidden="1"/>
    </xf>
    <xf numFmtId="0" fontId="5" fillId="2" borderId="3" xfId="1" applyFont="1" applyFill="1" applyBorder="1" applyAlignment="1" applyProtection="1">
      <alignment horizontal="left" wrapText="1"/>
      <protection hidden="1"/>
    </xf>
    <xf numFmtId="0" fontId="18" fillId="3" borderId="0" xfId="1" applyFont="1" applyFill="1" applyBorder="1" applyAlignment="1" applyProtection="1">
      <alignment vertical="top" wrapText="1"/>
      <protection hidden="1"/>
    </xf>
    <xf numFmtId="0" fontId="5" fillId="2" borderId="8" xfId="1" applyFont="1" applyFill="1" applyBorder="1" applyProtection="1">
      <protection hidden="1"/>
    </xf>
    <xf numFmtId="0" fontId="5" fillId="2" borderId="0" xfId="1" applyFont="1" applyFill="1" applyAlignment="1" applyProtection="1">
      <alignment horizontal="left" wrapText="1" indent="1"/>
      <protection hidden="1"/>
    </xf>
    <xf numFmtId="0" fontId="5" fillId="2" borderId="0" xfId="1" applyFont="1" applyFill="1" applyAlignment="1" applyProtection="1">
      <alignment horizontal="left" wrapText="1" indent="2"/>
      <protection hidden="1"/>
    </xf>
    <xf numFmtId="0" fontId="5" fillId="2" borderId="1" xfId="1" applyFont="1" applyFill="1" applyBorder="1" applyAlignment="1" applyProtection="1">
      <alignment horizontal="left" wrapText="1" indent="2"/>
      <protection hidden="1"/>
    </xf>
    <xf numFmtId="0" fontId="4" fillId="2" borderId="4" xfId="1" applyFont="1" applyFill="1" applyBorder="1" applyAlignment="1" applyProtection="1">
      <alignment horizontal="left" wrapText="1"/>
      <protection hidden="1"/>
    </xf>
    <xf numFmtId="0" fontId="5" fillId="0" borderId="8" xfId="1" applyFont="1" applyBorder="1" applyAlignment="1" applyProtection="1">
      <alignment horizontal="left"/>
      <protection hidden="1"/>
    </xf>
    <xf numFmtId="0" fontId="5" fillId="2" borderId="0" xfId="1" applyFont="1" applyFill="1" applyAlignment="1" applyProtection="1">
      <alignment wrapText="1"/>
      <protection hidden="1"/>
    </xf>
    <xf numFmtId="0" fontId="22" fillId="2" borderId="0" xfId="1" applyFont="1" applyFill="1" applyAlignment="1" applyProtection="1">
      <alignment vertical="top" wrapText="1"/>
      <protection hidden="1"/>
    </xf>
    <xf numFmtId="0" fontId="22" fillId="2" borderId="0" xfId="1" applyFont="1" applyFill="1" applyAlignment="1" applyProtection="1">
      <alignment wrapText="1"/>
      <protection hidden="1"/>
    </xf>
  </cellXfs>
  <cellStyles count="6">
    <cellStyle name="AFE" xfId="1"/>
    <cellStyle name="Гиперссылка" xfId="2" builtinId="8"/>
    <cellStyle name="Обычный" xfId="0" builtinId="0"/>
    <cellStyle name="Обычный_Stat_2009" xfId="3"/>
    <cellStyle name="Процентный" xfId="4" builtinId="5"/>
    <cellStyle name="Финансовый" xfId="5" builtinId="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0</xdr:col>
      <xdr:colOff>1234440</xdr:colOff>
      <xdr:row>1</xdr:row>
      <xdr:rowOff>160020</xdr:rowOff>
    </xdr:from>
    <xdr:to>
      <xdr:col>0</xdr:col>
      <xdr:colOff>4579620</xdr:colOff>
      <xdr:row>11</xdr:row>
      <xdr:rowOff>91440</xdr:rowOff>
    </xdr:to>
    <xdr:pic>
      <xdr:nvPicPr>
        <xdr:cNvPr id="1025" name="Picture 3" descr="GP block 2935 stn"/>
        <xdr:cNvPicPr>
          <a:picLocks noChangeAspect="1" noChangeArrowheads="1"/>
        </xdr:cNvPicPr>
      </xdr:nvPicPr>
      <xdr:blipFill>
        <a:blip xmlns:r="http://schemas.openxmlformats.org/officeDocument/2006/relationships" r:embed="rId1" cstate="print"/>
        <a:srcRect/>
        <a:stretch>
          <a:fillRect/>
        </a:stretch>
      </xdr:blipFill>
      <xdr:spPr bwMode="auto">
        <a:xfrm>
          <a:off x="1234440" y="327660"/>
          <a:ext cx="3345180" cy="160782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7</xdr:col>
      <xdr:colOff>0</xdr:colOff>
      <xdr:row>15</xdr:row>
      <xdr:rowOff>121920</xdr:rowOff>
    </xdr:to>
    <xdr:pic>
      <xdr:nvPicPr>
        <xdr:cNvPr id="10241" name="Рисунок 2"/>
        <xdr:cNvPicPr>
          <a:picLocks noChangeAspect="1"/>
        </xdr:cNvPicPr>
      </xdr:nvPicPr>
      <xdr:blipFill>
        <a:blip xmlns:r="http://schemas.openxmlformats.org/officeDocument/2006/relationships" r:embed="rId1" cstate="print"/>
        <a:srcRect/>
        <a:stretch>
          <a:fillRect/>
        </a:stretch>
      </xdr:blipFill>
      <xdr:spPr bwMode="auto">
        <a:xfrm>
          <a:off x="0" y="617220"/>
          <a:ext cx="6918960" cy="3916680"/>
        </a:xfrm>
        <a:prstGeom prst="rect">
          <a:avLst/>
        </a:prstGeom>
        <a:noFill/>
        <a:ln w="9525">
          <a:noFill/>
          <a:miter lim="800000"/>
          <a:headEnd/>
          <a:tailEnd/>
        </a:ln>
      </xdr:spPr>
    </xdr:pic>
    <xdr:clientData/>
  </xdr:twoCellAnchor>
  <xdr:twoCellAnchor editAs="oneCell">
    <xdr:from>
      <xdr:col>0</xdr:col>
      <xdr:colOff>0</xdr:colOff>
      <xdr:row>43</xdr:row>
      <xdr:rowOff>0</xdr:rowOff>
    </xdr:from>
    <xdr:to>
      <xdr:col>7</xdr:col>
      <xdr:colOff>0</xdr:colOff>
      <xdr:row>56</xdr:row>
      <xdr:rowOff>106680</xdr:rowOff>
    </xdr:to>
    <xdr:pic>
      <xdr:nvPicPr>
        <xdr:cNvPr id="10242" name="Рисунок 3"/>
        <xdr:cNvPicPr>
          <a:picLocks noChangeAspect="1"/>
        </xdr:cNvPicPr>
      </xdr:nvPicPr>
      <xdr:blipFill>
        <a:blip xmlns:r="http://schemas.openxmlformats.org/officeDocument/2006/relationships" r:embed="rId2" cstate="print"/>
        <a:srcRect/>
        <a:stretch>
          <a:fillRect/>
        </a:stretch>
      </xdr:blipFill>
      <xdr:spPr bwMode="auto">
        <a:xfrm>
          <a:off x="0" y="9685020"/>
          <a:ext cx="6918960" cy="426720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2164080</xdr:colOff>
      <xdr:row>18</xdr:row>
      <xdr:rowOff>243840</xdr:rowOff>
    </xdr:to>
    <xdr:pic>
      <xdr:nvPicPr>
        <xdr:cNvPr id="11265" name="Рисунок 3"/>
        <xdr:cNvPicPr>
          <a:picLocks noChangeAspect="1"/>
        </xdr:cNvPicPr>
      </xdr:nvPicPr>
      <xdr:blipFill>
        <a:blip xmlns:r="http://schemas.openxmlformats.org/officeDocument/2006/relationships" r:embed="rId1" cstate="print"/>
        <a:srcRect/>
        <a:stretch>
          <a:fillRect/>
        </a:stretch>
      </xdr:blipFill>
      <xdr:spPr bwMode="auto">
        <a:xfrm>
          <a:off x="0" y="198120"/>
          <a:ext cx="6918960" cy="503682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2</xdr:row>
      <xdr:rowOff>38100</xdr:rowOff>
    </xdr:from>
    <xdr:to>
      <xdr:col>6</xdr:col>
      <xdr:colOff>0</xdr:colOff>
      <xdr:row>18</xdr:row>
      <xdr:rowOff>91440</xdr:rowOff>
    </xdr:to>
    <xdr:pic>
      <xdr:nvPicPr>
        <xdr:cNvPr id="12289" name="Рисунок 1"/>
        <xdr:cNvPicPr>
          <a:picLocks noChangeAspect="1"/>
        </xdr:cNvPicPr>
      </xdr:nvPicPr>
      <xdr:blipFill>
        <a:blip xmlns:r="http://schemas.openxmlformats.org/officeDocument/2006/relationships" r:embed="rId1" cstate="print"/>
        <a:srcRect/>
        <a:stretch>
          <a:fillRect/>
        </a:stretch>
      </xdr:blipFill>
      <xdr:spPr bwMode="auto">
        <a:xfrm>
          <a:off x="0" y="441960"/>
          <a:ext cx="6918960" cy="268224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8</xdr:col>
      <xdr:colOff>0</xdr:colOff>
      <xdr:row>36</xdr:row>
      <xdr:rowOff>22860</xdr:rowOff>
    </xdr:to>
    <xdr:pic>
      <xdr:nvPicPr>
        <xdr:cNvPr id="2049" name="Рисунок 1"/>
        <xdr:cNvPicPr>
          <a:picLocks noChangeAspect="1"/>
        </xdr:cNvPicPr>
      </xdr:nvPicPr>
      <xdr:blipFill>
        <a:blip xmlns:r="http://schemas.openxmlformats.org/officeDocument/2006/relationships" r:embed="rId1" cstate="print"/>
        <a:srcRect/>
        <a:stretch>
          <a:fillRect/>
        </a:stretch>
      </xdr:blipFill>
      <xdr:spPr bwMode="auto">
        <a:xfrm>
          <a:off x="0" y="4914900"/>
          <a:ext cx="6896100" cy="269748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7</xdr:col>
      <xdr:colOff>502920</xdr:colOff>
      <xdr:row>52</xdr:row>
      <xdr:rowOff>388620</xdr:rowOff>
    </xdr:to>
    <xdr:pic>
      <xdr:nvPicPr>
        <xdr:cNvPr id="3073" name="Рисунок 2"/>
        <xdr:cNvPicPr>
          <a:picLocks noChangeAspect="1"/>
        </xdr:cNvPicPr>
      </xdr:nvPicPr>
      <xdr:blipFill>
        <a:blip xmlns:r="http://schemas.openxmlformats.org/officeDocument/2006/relationships" r:embed="rId1" cstate="print"/>
        <a:srcRect/>
        <a:stretch>
          <a:fillRect/>
        </a:stretch>
      </xdr:blipFill>
      <xdr:spPr bwMode="auto">
        <a:xfrm>
          <a:off x="0" y="5897880"/>
          <a:ext cx="6880860" cy="32385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323850</xdr:colOff>
      <xdr:row>0</xdr:row>
      <xdr:rowOff>83820</xdr:rowOff>
    </xdr:from>
    <xdr:to>
      <xdr:col>2</xdr:col>
      <xdr:colOff>575369</xdr:colOff>
      <xdr:row>1</xdr:row>
      <xdr:rowOff>198315</xdr:rowOff>
    </xdr:to>
    <xdr:sp macro="" textlink="">
      <xdr:nvSpPr>
        <xdr:cNvPr id="5121" name="Rectangle 1"/>
        <xdr:cNvSpPr>
          <a:spLocks noChangeArrowheads="1"/>
        </xdr:cNvSpPr>
      </xdr:nvSpPr>
      <xdr:spPr bwMode="gray">
        <a:xfrm>
          <a:off x="6819900" y="91440"/>
          <a:ext cx="266700" cy="312420"/>
        </a:xfrm>
        <a:prstGeom prst="rect">
          <a:avLst/>
        </a:prstGeom>
        <a:noFill/>
        <a:ln w="12700">
          <a:noFill/>
          <a:miter lim="800000"/>
          <a:headEnd/>
          <a:tailEnd/>
        </a:ln>
        <a:effectLst/>
      </xdr:spPr>
      <xdr:txBody>
        <a:bodyPr vertOverflow="clip" wrap="square" lIns="92075" tIns="46037" rIns="92075" bIns="46037" anchor="t" upright="1"/>
        <a:lstStyle/>
        <a:p>
          <a:pPr algn="l" rtl="0">
            <a:defRPr sz="1000"/>
          </a:pPr>
          <a:r>
            <a:rPr lang="ru-RU" sz="1200" b="1" i="0" u="none" strike="noStrike" baseline="0">
              <a:solidFill>
                <a:srgbClr val="000000"/>
              </a:solidFill>
              <a:latin typeface="Times New Roman"/>
              <a:cs typeface="Times New Roman"/>
            </a:rPr>
            <a:t> </a:t>
          </a:r>
        </a:p>
      </xdr:txBody>
    </xdr:sp>
    <xdr:clientData/>
  </xdr:twoCellAnchor>
  <xdr:twoCellAnchor>
    <xdr:from>
      <xdr:col>0</xdr:col>
      <xdr:colOff>1571625</xdr:colOff>
      <xdr:row>0</xdr:row>
      <xdr:rowOff>83820</xdr:rowOff>
    </xdr:from>
    <xdr:to>
      <xdr:col>0</xdr:col>
      <xdr:colOff>1834203</xdr:colOff>
      <xdr:row>2</xdr:row>
      <xdr:rowOff>44057</xdr:rowOff>
    </xdr:to>
    <xdr:sp macro="" textlink="">
      <xdr:nvSpPr>
        <xdr:cNvPr id="5122" name="Rectangle 2"/>
        <xdr:cNvSpPr>
          <a:spLocks noChangeArrowheads="1"/>
        </xdr:cNvSpPr>
      </xdr:nvSpPr>
      <xdr:spPr bwMode="gray">
        <a:xfrm>
          <a:off x="1577340" y="91440"/>
          <a:ext cx="266700" cy="426720"/>
        </a:xfrm>
        <a:prstGeom prst="rect">
          <a:avLst/>
        </a:prstGeom>
        <a:noFill/>
        <a:ln w="12700">
          <a:noFill/>
          <a:miter lim="800000"/>
          <a:headEnd/>
          <a:tailEnd/>
        </a:ln>
        <a:effectLst/>
      </xdr:spPr>
      <xdr:txBody>
        <a:bodyPr vertOverflow="clip" wrap="square" lIns="92075" tIns="46037" rIns="92075" bIns="46037" anchor="t" upright="1"/>
        <a:lstStyle/>
        <a:p>
          <a:pPr algn="l" rtl="0">
            <a:defRPr sz="1000"/>
          </a:pPr>
          <a:r>
            <a:rPr lang="ru-RU" sz="1200" b="1" i="0" u="none" strike="noStrike" baseline="0">
              <a:solidFill>
                <a:srgbClr val="000000"/>
              </a:solidFill>
              <a:latin typeface="Times New Roman"/>
              <a:cs typeface="Times New Roman"/>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1722120</xdr:colOff>
      <xdr:row>4</xdr:row>
      <xdr:rowOff>45720</xdr:rowOff>
    </xdr:from>
    <xdr:to>
      <xdr:col>16</xdr:col>
      <xdr:colOff>502920</xdr:colOff>
      <xdr:row>17</xdr:row>
      <xdr:rowOff>152400</xdr:rowOff>
    </xdr:to>
    <xdr:pic>
      <xdr:nvPicPr>
        <xdr:cNvPr id="5121" name="Picture 33" descr="Добыча-углеводородов-Группы-Газпром-на-территории-Российской-Федерации"/>
        <xdr:cNvPicPr>
          <a:picLocks noChangeAspect="1" noChangeArrowheads="1"/>
        </xdr:cNvPicPr>
      </xdr:nvPicPr>
      <xdr:blipFill>
        <a:blip xmlns:r="http://schemas.openxmlformats.org/officeDocument/2006/relationships" r:embed="rId1" cstate="print"/>
        <a:srcRect/>
        <a:stretch>
          <a:fillRect/>
        </a:stretch>
      </xdr:blipFill>
      <xdr:spPr bwMode="auto">
        <a:xfrm>
          <a:off x="1722120" y="777240"/>
          <a:ext cx="6164580" cy="22860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6</xdr:col>
      <xdr:colOff>670560</xdr:colOff>
      <xdr:row>24</xdr:row>
      <xdr:rowOff>114300</xdr:rowOff>
    </xdr:to>
    <xdr:pic>
      <xdr:nvPicPr>
        <xdr:cNvPr id="6145" name="Рисунок 1"/>
        <xdr:cNvPicPr>
          <a:picLocks noChangeAspect="1"/>
        </xdr:cNvPicPr>
      </xdr:nvPicPr>
      <xdr:blipFill>
        <a:blip xmlns:r="http://schemas.openxmlformats.org/officeDocument/2006/relationships" r:embed="rId1" cstate="print"/>
        <a:srcRect/>
        <a:stretch>
          <a:fillRect/>
        </a:stretch>
      </xdr:blipFill>
      <xdr:spPr bwMode="auto">
        <a:xfrm>
          <a:off x="0" y="464820"/>
          <a:ext cx="6941820" cy="39624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198120</xdr:colOff>
      <xdr:row>2</xdr:row>
      <xdr:rowOff>137160</xdr:rowOff>
    </xdr:from>
    <xdr:to>
      <xdr:col>6</xdr:col>
      <xdr:colOff>0</xdr:colOff>
      <xdr:row>6</xdr:row>
      <xdr:rowOff>800100</xdr:rowOff>
    </xdr:to>
    <xdr:pic>
      <xdr:nvPicPr>
        <xdr:cNvPr id="7169" name="Рисунок 1"/>
        <xdr:cNvPicPr>
          <a:picLocks noChangeAspect="1"/>
        </xdr:cNvPicPr>
      </xdr:nvPicPr>
      <xdr:blipFill>
        <a:blip xmlns:r="http://schemas.openxmlformats.org/officeDocument/2006/relationships" r:embed="rId1" cstate="print"/>
        <a:srcRect/>
        <a:stretch>
          <a:fillRect/>
        </a:stretch>
      </xdr:blipFill>
      <xdr:spPr bwMode="auto">
        <a:xfrm>
          <a:off x="6294120" y="792480"/>
          <a:ext cx="3680460" cy="2346960"/>
        </a:xfrm>
        <a:prstGeom prst="rect">
          <a:avLst/>
        </a:prstGeom>
        <a:noFill/>
        <a:ln w="9525">
          <a:noFill/>
          <a:miter lim="800000"/>
          <a:headEnd/>
          <a:tailEnd/>
        </a:ln>
      </xdr:spPr>
    </xdr:pic>
    <xdr:clientData/>
  </xdr:twoCellAnchor>
  <xdr:twoCellAnchor editAs="oneCell">
    <xdr:from>
      <xdr:col>5</xdr:col>
      <xdr:colOff>182880</xdr:colOff>
      <xdr:row>7</xdr:row>
      <xdr:rowOff>137160</xdr:rowOff>
    </xdr:from>
    <xdr:to>
      <xdr:col>5</xdr:col>
      <xdr:colOff>3756660</xdr:colOff>
      <xdr:row>8</xdr:row>
      <xdr:rowOff>0</xdr:rowOff>
    </xdr:to>
    <xdr:pic>
      <xdr:nvPicPr>
        <xdr:cNvPr id="7170" name="Рисунок 2"/>
        <xdr:cNvPicPr>
          <a:picLocks noChangeAspect="1"/>
        </xdr:cNvPicPr>
      </xdr:nvPicPr>
      <xdr:blipFill>
        <a:blip xmlns:r="http://schemas.openxmlformats.org/officeDocument/2006/relationships" r:embed="rId2" cstate="print"/>
        <a:srcRect/>
        <a:stretch>
          <a:fillRect/>
        </a:stretch>
      </xdr:blipFill>
      <xdr:spPr bwMode="auto">
        <a:xfrm>
          <a:off x="6278880" y="3489960"/>
          <a:ext cx="3573780" cy="2720340"/>
        </a:xfrm>
        <a:prstGeom prst="rect">
          <a:avLst/>
        </a:prstGeom>
        <a:noFill/>
        <a:ln w="9525">
          <a:noFill/>
          <a:miter lim="800000"/>
          <a:headEnd/>
          <a:tailEnd/>
        </a:ln>
      </xdr:spPr>
    </xdr:pic>
    <xdr:clientData/>
  </xdr:twoCellAnchor>
  <xdr:twoCellAnchor editAs="oneCell">
    <xdr:from>
      <xdr:col>5</xdr:col>
      <xdr:colOff>228600</xdr:colOff>
      <xdr:row>8</xdr:row>
      <xdr:rowOff>411480</xdr:rowOff>
    </xdr:from>
    <xdr:to>
      <xdr:col>5</xdr:col>
      <xdr:colOff>3771900</xdr:colOff>
      <xdr:row>10</xdr:row>
      <xdr:rowOff>358140</xdr:rowOff>
    </xdr:to>
    <xdr:pic>
      <xdr:nvPicPr>
        <xdr:cNvPr id="7171" name="Рисунок 3"/>
        <xdr:cNvPicPr>
          <a:picLocks noChangeAspect="1"/>
        </xdr:cNvPicPr>
      </xdr:nvPicPr>
      <xdr:blipFill>
        <a:blip xmlns:r="http://schemas.openxmlformats.org/officeDocument/2006/relationships" r:embed="rId3" cstate="print"/>
        <a:srcRect/>
        <a:stretch>
          <a:fillRect/>
        </a:stretch>
      </xdr:blipFill>
      <xdr:spPr bwMode="auto">
        <a:xfrm>
          <a:off x="6324600" y="6621780"/>
          <a:ext cx="3543300" cy="2667000"/>
        </a:xfrm>
        <a:prstGeom prst="rect">
          <a:avLst/>
        </a:prstGeom>
        <a:noFill/>
        <a:ln w="9525">
          <a:noFill/>
          <a:miter lim="800000"/>
          <a:headEnd/>
          <a:tailEnd/>
        </a:ln>
      </xdr:spPr>
    </xdr:pic>
    <xdr:clientData/>
  </xdr:twoCellAnchor>
  <xdr:twoCellAnchor editAs="oneCell">
    <xdr:from>
      <xdr:col>5</xdr:col>
      <xdr:colOff>213360</xdr:colOff>
      <xdr:row>12</xdr:row>
      <xdr:rowOff>381000</xdr:rowOff>
    </xdr:from>
    <xdr:to>
      <xdr:col>5</xdr:col>
      <xdr:colOff>3756660</xdr:colOff>
      <xdr:row>12</xdr:row>
      <xdr:rowOff>2636520</xdr:rowOff>
    </xdr:to>
    <xdr:pic>
      <xdr:nvPicPr>
        <xdr:cNvPr id="7172" name="Рисунок 4"/>
        <xdr:cNvPicPr>
          <a:picLocks noChangeAspect="1"/>
        </xdr:cNvPicPr>
      </xdr:nvPicPr>
      <xdr:blipFill>
        <a:blip xmlns:r="http://schemas.openxmlformats.org/officeDocument/2006/relationships" r:embed="rId4" cstate="print"/>
        <a:srcRect/>
        <a:stretch>
          <a:fillRect/>
        </a:stretch>
      </xdr:blipFill>
      <xdr:spPr bwMode="auto">
        <a:xfrm>
          <a:off x="6309360" y="12748260"/>
          <a:ext cx="3543300" cy="2255520"/>
        </a:xfrm>
        <a:prstGeom prst="rect">
          <a:avLst/>
        </a:prstGeom>
        <a:noFill/>
        <a:ln w="9525">
          <a:noFill/>
          <a:miter lim="800000"/>
          <a:headEnd/>
          <a:tailEnd/>
        </a:ln>
      </xdr:spPr>
    </xdr:pic>
    <xdr:clientData/>
  </xdr:twoCellAnchor>
  <xdr:twoCellAnchor editAs="oneCell">
    <xdr:from>
      <xdr:col>5</xdr:col>
      <xdr:colOff>198120</xdr:colOff>
      <xdr:row>15</xdr:row>
      <xdr:rowOff>304800</xdr:rowOff>
    </xdr:from>
    <xdr:to>
      <xdr:col>6</xdr:col>
      <xdr:colOff>0</xdr:colOff>
      <xdr:row>15</xdr:row>
      <xdr:rowOff>2529840</xdr:rowOff>
    </xdr:to>
    <xdr:pic>
      <xdr:nvPicPr>
        <xdr:cNvPr id="7173" name="Рисунок 5"/>
        <xdr:cNvPicPr>
          <a:picLocks noChangeAspect="1"/>
        </xdr:cNvPicPr>
      </xdr:nvPicPr>
      <xdr:blipFill>
        <a:blip xmlns:r="http://schemas.openxmlformats.org/officeDocument/2006/relationships" r:embed="rId5" cstate="print"/>
        <a:srcRect/>
        <a:stretch>
          <a:fillRect/>
        </a:stretch>
      </xdr:blipFill>
      <xdr:spPr bwMode="auto">
        <a:xfrm>
          <a:off x="6294120" y="18112740"/>
          <a:ext cx="3680460" cy="2225040"/>
        </a:xfrm>
        <a:prstGeom prst="rect">
          <a:avLst/>
        </a:prstGeom>
        <a:noFill/>
        <a:ln w="9525">
          <a:noFill/>
          <a:miter lim="800000"/>
          <a:headEnd/>
          <a:tailEnd/>
        </a:ln>
      </xdr:spPr>
    </xdr:pic>
    <xdr:clientData/>
  </xdr:twoCellAnchor>
  <xdr:twoCellAnchor editAs="oneCell">
    <xdr:from>
      <xdr:col>5</xdr:col>
      <xdr:colOff>182880</xdr:colOff>
      <xdr:row>17</xdr:row>
      <xdr:rowOff>198120</xdr:rowOff>
    </xdr:from>
    <xdr:to>
      <xdr:col>5</xdr:col>
      <xdr:colOff>3756660</xdr:colOff>
      <xdr:row>17</xdr:row>
      <xdr:rowOff>2758440</xdr:rowOff>
    </xdr:to>
    <xdr:pic>
      <xdr:nvPicPr>
        <xdr:cNvPr id="7174" name="Рисунок 6"/>
        <xdr:cNvPicPr>
          <a:picLocks noChangeAspect="1"/>
        </xdr:cNvPicPr>
      </xdr:nvPicPr>
      <xdr:blipFill>
        <a:blip xmlns:r="http://schemas.openxmlformats.org/officeDocument/2006/relationships" r:embed="rId6" cstate="print"/>
        <a:srcRect/>
        <a:stretch>
          <a:fillRect/>
        </a:stretch>
      </xdr:blipFill>
      <xdr:spPr bwMode="auto">
        <a:xfrm>
          <a:off x="6278880" y="20749260"/>
          <a:ext cx="3573780" cy="2560320"/>
        </a:xfrm>
        <a:prstGeom prst="rect">
          <a:avLst/>
        </a:prstGeom>
        <a:noFill/>
        <a:ln w="9525">
          <a:noFill/>
          <a:miter lim="800000"/>
          <a:headEnd/>
          <a:tailEnd/>
        </a:ln>
      </xdr:spPr>
    </xdr:pic>
    <xdr:clientData/>
  </xdr:twoCellAnchor>
  <xdr:twoCellAnchor editAs="oneCell">
    <xdr:from>
      <xdr:col>5</xdr:col>
      <xdr:colOff>198120</xdr:colOff>
      <xdr:row>18</xdr:row>
      <xdr:rowOff>243840</xdr:rowOff>
    </xdr:from>
    <xdr:to>
      <xdr:col>5</xdr:col>
      <xdr:colOff>3771900</xdr:colOff>
      <xdr:row>20</xdr:row>
      <xdr:rowOff>335280</xdr:rowOff>
    </xdr:to>
    <xdr:pic>
      <xdr:nvPicPr>
        <xdr:cNvPr id="7175" name="Рисунок 7"/>
        <xdr:cNvPicPr>
          <a:picLocks noChangeAspect="1"/>
        </xdr:cNvPicPr>
      </xdr:nvPicPr>
      <xdr:blipFill>
        <a:blip xmlns:r="http://schemas.openxmlformats.org/officeDocument/2006/relationships" r:embed="rId7" cstate="print"/>
        <a:srcRect/>
        <a:stretch>
          <a:fillRect/>
        </a:stretch>
      </xdr:blipFill>
      <xdr:spPr bwMode="auto">
        <a:xfrm>
          <a:off x="6294120" y="23804880"/>
          <a:ext cx="3573780" cy="2270760"/>
        </a:xfrm>
        <a:prstGeom prst="rect">
          <a:avLst/>
        </a:prstGeom>
        <a:noFill/>
        <a:ln w="9525">
          <a:noFill/>
          <a:miter lim="800000"/>
          <a:headEnd/>
          <a:tailEnd/>
        </a:ln>
      </xdr:spPr>
    </xdr:pic>
    <xdr:clientData/>
  </xdr:twoCellAnchor>
  <xdr:twoCellAnchor editAs="oneCell">
    <xdr:from>
      <xdr:col>5</xdr:col>
      <xdr:colOff>198120</xdr:colOff>
      <xdr:row>21</xdr:row>
      <xdr:rowOff>182880</xdr:rowOff>
    </xdr:from>
    <xdr:to>
      <xdr:col>5</xdr:col>
      <xdr:colOff>3771900</xdr:colOff>
      <xdr:row>22</xdr:row>
      <xdr:rowOff>2019300</xdr:rowOff>
    </xdr:to>
    <xdr:pic>
      <xdr:nvPicPr>
        <xdr:cNvPr id="7176" name="Рисунок 8"/>
        <xdr:cNvPicPr>
          <a:picLocks noChangeAspect="1"/>
        </xdr:cNvPicPr>
      </xdr:nvPicPr>
      <xdr:blipFill>
        <a:blip xmlns:r="http://schemas.openxmlformats.org/officeDocument/2006/relationships" r:embed="rId8" cstate="print"/>
        <a:srcRect/>
        <a:stretch>
          <a:fillRect/>
        </a:stretch>
      </xdr:blipFill>
      <xdr:spPr bwMode="auto">
        <a:xfrm>
          <a:off x="6294120" y="26624280"/>
          <a:ext cx="3573780" cy="2430780"/>
        </a:xfrm>
        <a:prstGeom prst="rect">
          <a:avLst/>
        </a:prstGeom>
        <a:noFill/>
        <a:ln w="9525">
          <a:noFill/>
          <a:miter lim="800000"/>
          <a:headEnd/>
          <a:tailEnd/>
        </a:ln>
      </xdr:spPr>
    </xdr:pic>
    <xdr:clientData/>
  </xdr:twoCellAnchor>
  <xdr:twoCellAnchor editAs="oneCell">
    <xdr:from>
      <xdr:col>5</xdr:col>
      <xdr:colOff>190500</xdr:colOff>
      <xdr:row>23</xdr:row>
      <xdr:rowOff>190500</xdr:rowOff>
    </xdr:from>
    <xdr:to>
      <xdr:col>5</xdr:col>
      <xdr:colOff>3764280</xdr:colOff>
      <xdr:row>24</xdr:row>
      <xdr:rowOff>1036320</xdr:rowOff>
    </xdr:to>
    <xdr:pic>
      <xdr:nvPicPr>
        <xdr:cNvPr id="7177" name="Рисунок 9"/>
        <xdr:cNvPicPr>
          <a:picLocks noChangeAspect="1"/>
        </xdr:cNvPicPr>
      </xdr:nvPicPr>
      <xdr:blipFill>
        <a:blip xmlns:r="http://schemas.openxmlformats.org/officeDocument/2006/relationships" r:embed="rId9" cstate="print"/>
        <a:srcRect/>
        <a:stretch>
          <a:fillRect/>
        </a:stretch>
      </xdr:blipFill>
      <xdr:spPr bwMode="auto">
        <a:xfrm>
          <a:off x="6286500" y="29436060"/>
          <a:ext cx="3573780" cy="2423160"/>
        </a:xfrm>
        <a:prstGeom prst="rect">
          <a:avLst/>
        </a:prstGeom>
        <a:noFill/>
        <a:ln w="9525">
          <a:noFill/>
          <a:miter lim="800000"/>
          <a:headEnd/>
          <a:tailEnd/>
        </a:ln>
      </xdr:spPr>
    </xdr:pic>
    <xdr:clientData/>
  </xdr:twoCellAnchor>
  <xdr:twoCellAnchor editAs="oneCell">
    <xdr:from>
      <xdr:col>5</xdr:col>
      <xdr:colOff>190500</xdr:colOff>
      <xdr:row>25</xdr:row>
      <xdr:rowOff>312420</xdr:rowOff>
    </xdr:from>
    <xdr:to>
      <xdr:col>5</xdr:col>
      <xdr:colOff>3764280</xdr:colOff>
      <xdr:row>26</xdr:row>
      <xdr:rowOff>472440</xdr:rowOff>
    </xdr:to>
    <xdr:pic>
      <xdr:nvPicPr>
        <xdr:cNvPr id="7178" name="Рисунок 10"/>
        <xdr:cNvPicPr>
          <a:picLocks noChangeAspect="1"/>
        </xdr:cNvPicPr>
      </xdr:nvPicPr>
      <xdr:blipFill>
        <a:blip xmlns:r="http://schemas.openxmlformats.org/officeDocument/2006/relationships" r:embed="rId10" cstate="print"/>
        <a:srcRect/>
        <a:stretch>
          <a:fillRect/>
        </a:stretch>
      </xdr:blipFill>
      <xdr:spPr bwMode="auto">
        <a:xfrm>
          <a:off x="6286500" y="35402520"/>
          <a:ext cx="3573780" cy="2606040"/>
        </a:xfrm>
        <a:prstGeom prst="rect">
          <a:avLst/>
        </a:prstGeom>
        <a:noFill/>
        <a:ln w="9525">
          <a:noFill/>
          <a:miter lim="800000"/>
          <a:headEnd/>
          <a:tailEnd/>
        </a:ln>
      </xdr:spPr>
    </xdr:pic>
    <xdr:clientData/>
  </xdr:twoCellAnchor>
  <xdr:twoCellAnchor editAs="oneCell">
    <xdr:from>
      <xdr:col>5</xdr:col>
      <xdr:colOff>198120</xdr:colOff>
      <xdr:row>28</xdr:row>
      <xdr:rowOff>518160</xdr:rowOff>
    </xdr:from>
    <xdr:to>
      <xdr:col>5</xdr:col>
      <xdr:colOff>3764280</xdr:colOff>
      <xdr:row>35</xdr:row>
      <xdr:rowOff>106680</xdr:rowOff>
    </xdr:to>
    <xdr:pic>
      <xdr:nvPicPr>
        <xdr:cNvPr id="7179" name="Рисунок 11"/>
        <xdr:cNvPicPr>
          <a:picLocks noChangeAspect="1"/>
        </xdr:cNvPicPr>
      </xdr:nvPicPr>
      <xdr:blipFill>
        <a:blip xmlns:r="http://schemas.openxmlformats.org/officeDocument/2006/relationships" r:embed="rId11" cstate="print"/>
        <a:srcRect/>
        <a:stretch>
          <a:fillRect/>
        </a:stretch>
      </xdr:blipFill>
      <xdr:spPr bwMode="auto">
        <a:xfrm>
          <a:off x="6294120" y="41696640"/>
          <a:ext cx="3566160" cy="2438400"/>
        </a:xfrm>
        <a:prstGeom prst="rect">
          <a:avLst/>
        </a:prstGeom>
        <a:noFill/>
        <a:ln w="9525">
          <a:noFill/>
          <a:miter lim="800000"/>
          <a:headEnd/>
          <a:tailEnd/>
        </a:ln>
      </xdr:spPr>
    </xdr:pic>
    <xdr:clientData/>
  </xdr:twoCellAnchor>
  <xdr:twoCellAnchor editAs="oneCell">
    <xdr:from>
      <xdr:col>5</xdr:col>
      <xdr:colOff>190500</xdr:colOff>
      <xdr:row>38</xdr:row>
      <xdr:rowOff>160020</xdr:rowOff>
    </xdr:from>
    <xdr:to>
      <xdr:col>5</xdr:col>
      <xdr:colOff>3764280</xdr:colOff>
      <xdr:row>39</xdr:row>
      <xdr:rowOff>731520</xdr:rowOff>
    </xdr:to>
    <xdr:pic>
      <xdr:nvPicPr>
        <xdr:cNvPr id="7180" name="Рисунок 12"/>
        <xdr:cNvPicPr>
          <a:picLocks noChangeAspect="1"/>
        </xdr:cNvPicPr>
      </xdr:nvPicPr>
      <xdr:blipFill>
        <a:blip xmlns:r="http://schemas.openxmlformats.org/officeDocument/2006/relationships" r:embed="rId12" cstate="print"/>
        <a:srcRect/>
        <a:stretch>
          <a:fillRect/>
        </a:stretch>
      </xdr:blipFill>
      <xdr:spPr bwMode="auto">
        <a:xfrm>
          <a:off x="6286500" y="47800260"/>
          <a:ext cx="3573780" cy="265176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4</xdr:col>
      <xdr:colOff>830580</xdr:colOff>
      <xdr:row>18</xdr:row>
      <xdr:rowOff>220980</xdr:rowOff>
    </xdr:to>
    <xdr:pic>
      <xdr:nvPicPr>
        <xdr:cNvPr id="8193" name="Рисунок 1"/>
        <xdr:cNvPicPr>
          <a:picLocks noChangeAspect="1"/>
        </xdr:cNvPicPr>
      </xdr:nvPicPr>
      <xdr:blipFill>
        <a:blip xmlns:r="http://schemas.openxmlformats.org/officeDocument/2006/relationships" r:embed="rId1" cstate="print"/>
        <a:srcRect/>
        <a:stretch>
          <a:fillRect/>
        </a:stretch>
      </xdr:blipFill>
      <xdr:spPr bwMode="auto">
        <a:xfrm>
          <a:off x="0" y="365760"/>
          <a:ext cx="6850380" cy="424434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xdr:row>
      <xdr:rowOff>15240</xdr:rowOff>
    </xdr:from>
    <xdr:to>
      <xdr:col>5</xdr:col>
      <xdr:colOff>2301240</xdr:colOff>
      <xdr:row>14</xdr:row>
      <xdr:rowOff>0</xdr:rowOff>
    </xdr:to>
    <xdr:pic>
      <xdr:nvPicPr>
        <xdr:cNvPr id="9217" name="Рисунок 3"/>
        <xdr:cNvPicPr>
          <a:picLocks noChangeAspect="1"/>
        </xdr:cNvPicPr>
      </xdr:nvPicPr>
      <xdr:blipFill>
        <a:blip xmlns:r="http://schemas.openxmlformats.org/officeDocument/2006/relationships" r:embed="rId1" cstate="print"/>
        <a:srcRect/>
        <a:stretch>
          <a:fillRect/>
        </a:stretch>
      </xdr:blipFill>
      <xdr:spPr bwMode="auto">
        <a:xfrm>
          <a:off x="0" y="381000"/>
          <a:ext cx="6903720" cy="57150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dimension ref="A1:M52"/>
  <sheetViews>
    <sheetView tabSelected="1" zoomScaleNormal="100" zoomScaleSheetLayoutView="100" workbookViewId="0"/>
  </sheetViews>
  <sheetFormatPr defaultColWidth="0" defaultRowHeight="13.2" zeroHeight="1"/>
  <cols>
    <col min="1" max="1" width="77.33203125" style="28" customWidth="1"/>
    <col min="2" max="2" width="9.33203125" style="28" customWidth="1"/>
    <col min="3" max="8" width="9.33203125" style="28" hidden="1" customWidth="1"/>
    <col min="9" max="9" width="10.5546875" style="28" hidden="1" customWidth="1"/>
    <col min="10" max="16384" width="0" style="28" hidden="1"/>
  </cols>
  <sheetData>
    <row r="1" spans="1:2"/>
    <row r="2" spans="1:2"/>
    <row r="3" spans="1:2"/>
    <row r="4" spans="1:2"/>
    <row r="5" spans="1:2"/>
    <row r="6" spans="1:2"/>
    <row r="7" spans="1:2"/>
    <row r="8" spans="1:2"/>
    <row r="9" spans="1:2"/>
    <row r="10" spans="1:2"/>
    <row r="11" spans="1:2"/>
    <row r="12" spans="1:2"/>
    <row r="13" spans="1:2"/>
    <row r="14" spans="1:2"/>
    <row r="15" spans="1:2" ht="24.6">
      <c r="A15" s="486" t="s">
        <v>1062</v>
      </c>
      <c r="B15" s="486"/>
    </row>
    <row r="16" spans="1:2" ht="24.6">
      <c r="A16" s="486" t="s">
        <v>800</v>
      </c>
      <c r="B16" s="486"/>
    </row>
    <row r="17" spans="1:4">
      <c r="A17" s="442"/>
      <c r="B17" s="443"/>
    </row>
    <row r="18" spans="1:4">
      <c r="A18" s="444" t="s">
        <v>484</v>
      </c>
      <c r="B18" s="445">
        <v>2</v>
      </c>
    </row>
    <row r="19" spans="1:4">
      <c r="A19" s="444" t="s">
        <v>741</v>
      </c>
      <c r="B19" s="445">
        <v>3</v>
      </c>
    </row>
    <row r="20" spans="1:4">
      <c r="A20" s="444" t="s">
        <v>791</v>
      </c>
      <c r="B20" s="445">
        <v>4</v>
      </c>
    </row>
    <row r="21" spans="1:4">
      <c r="A21" s="444" t="s">
        <v>801</v>
      </c>
      <c r="B21" s="445">
        <v>5</v>
      </c>
      <c r="D21" s="446"/>
    </row>
    <row r="22" spans="1:4">
      <c r="A22" s="444" t="s">
        <v>1040</v>
      </c>
      <c r="B22" s="445">
        <v>6</v>
      </c>
      <c r="D22" s="446"/>
    </row>
    <row r="23" spans="1:4">
      <c r="A23" s="444" t="s">
        <v>408</v>
      </c>
      <c r="B23" s="445">
        <v>8</v>
      </c>
      <c r="D23" s="446"/>
    </row>
    <row r="24" spans="1:4" ht="12.75" customHeight="1">
      <c r="A24" s="444" t="s">
        <v>624</v>
      </c>
      <c r="B24" s="445">
        <v>9</v>
      </c>
      <c r="D24" s="446"/>
    </row>
    <row r="25" spans="1:4" ht="28.8">
      <c r="A25" s="444" t="s">
        <v>448</v>
      </c>
      <c r="B25" s="445">
        <v>11</v>
      </c>
      <c r="D25" s="446"/>
    </row>
    <row r="26" spans="1:4" ht="15.6">
      <c r="A26" s="444" t="s">
        <v>449</v>
      </c>
      <c r="B26" s="445">
        <v>12</v>
      </c>
      <c r="D26" s="446"/>
    </row>
    <row r="27" spans="1:4">
      <c r="A27" s="444" t="s">
        <v>802</v>
      </c>
      <c r="B27" s="445">
        <v>14</v>
      </c>
      <c r="D27" s="446"/>
    </row>
    <row r="28" spans="1:4">
      <c r="A28" s="444" t="s">
        <v>55</v>
      </c>
      <c r="B28" s="445">
        <v>16</v>
      </c>
      <c r="D28" s="446"/>
    </row>
    <row r="29" spans="1:4">
      <c r="A29" s="444" t="s">
        <v>377</v>
      </c>
      <c r="B29" s="445">
        <v>17</v>
      </c>
      <c r="D29" s="446"/>
    </row>
    <row r="30" spans="1:4" ht="26.4">
      <c r="A30" s="444" t="s">
        <v>379</v>
      </c>
      <c r="B30" s="445">
        <v>18</v>
      </c>
      <c r="D30" s="446"/>
    </row>
    <row r="31" spans="1:4">
      <c r="A31" s="444" t="s">
        <v>531</v>
      </c>
      <c r="B31" s="445">
        <v>19</v>
      </c>
      <c r="D31" s="446"/>
    </row>
    <row r="32" spans="1:4">
      <c r="A32" s="444" t="s">
        <v>538</v>
      </c>
      <c r="B32" s="445">
        <v>20</v>
      </c>
      <c r="D32" s="446"/>
    </row>
    <row r="33" spans="1:9" ht="26.4">
      <c r="A33" s="444" t="s">
        <v>920</v>
      </c>
      <c r="B33" s="445">
        <v>22</v>
      </c>
      <c r="D33" s="446"/>
    </row>
    <row r="34" spans="1:9" ht="12.75" customHeight="1">
      <c r="A34" s="444" t="s">
        <v>921</v>
      </c>
      <c r="B34" s="445">
        <v>27</v>
      </c>
      <c r="C34" s="447"/>
      <c r="D34" s="447"/>
      <c r="E34" s="447"/>
      <c r="F34" s="447"/>
      <c r="G34" s="447"/>
      <c r="H34" s="447"/>
      <c r="I34" s="447"/>
    </row>
    <row r="35" spans="1:9" ht="12.75" customHeight="1">
      <c r="A35" s="444" t="s">
        <v>625</v>
      </c>
      <c r="B35" s="445">
        <v>30</v>
      </c>
      <c r="D35" s="446"/>
    </row>
    <row r="36" spans="1:9">
      <c r="A36" s="444" t="s">
        <v>922</v>
      </c>
      <c r="B36" s="445">
        <v>31</v>
      </c>
      <c r="D36" s="446"/>
    </row>
    <row r="37" spans="1:9">
      <c r="A37" s="444" t="s">
        <v>341</v>
      </c>
      <c r="B37" s="445">
        <v>34</v>
      </c>
      <c r="D37" s="446"/>
    </row>
    <row r="38" spans="1:9">
      <c r="A38" s="444" t="s">
        <v>342</v>
      </c>
      <c r="B38" s="445">
        <v>36</v>
      </c>
      <c r="D38" s="446"/>
    </row>
    <row r="39" spans="1:9">
      <c r="A39" s="444" t="s">
        <v>1041</v>
      </c>
      <c r="B39" s="445">
        <v>37</v>
      </c>
      <c r="D39" s="446"/>
    </row>
    <row r="40" spans="1:9">
      <c r="A40" s="444" t="s">
        <v>217</v>
      </c>
      <c r="B40" s="445">
        <v>38</v>
      </c>
      <c r="D40" s="446"/>
    </row>
    <row r="41" spans="1:9">
      <c r="A41" s="444" t="s">
        <v>784</v>
      </c>
      <c r="B41" s="445">
        <v>40</v>
      </c>
      <c r="D41" s="446"/>
    </row>
    <row r="42" spans="1:9">
      <c r="A42" s="444" t="s">
        <v>343</v>
      </c>
      <c r="B42" s="445">
        <v>41</v>
      </c>
      <c r="D42" s="446"/>
    </row>
    <row r="43" spans="1:9">
      <c r="A43" s="444" t="s">
        <v>1042</v>
      </c>
      <c r="B43" s="445">
        <v>43</v>
      </c>
      <c r="D43" s="446"/>
    </row>
    <row r="44" spans="1:9">
      <c r="A44" s="444" t="s">
        <v>344</v>
      </c>
      <c r="B44" s="445">
        <v>44</v>
      </c>
      <c r="D44" s="446"/>
    </row>
    <row r="45" spans="1:9">
      <c r="A45" s="444" t="s">
        <v>345</v>
      </c>
      <c r="B45" s="445">
        <v>46</v>
      </c>
      <c r="D45" s="446"/>
    </row>
    <row r="46" spans="1:9">
      <c r="A46" s="444" t="s">
        <v>346</v>
      </c>
      <c r="B46" s="445">
        <v>47</v>
      </c>
      <c r="D46" s="446"/>
    </row>
    <row r="47" spans="1:9">
      <c r="A47" s="444" t="s">
        <v>347</v>
      </c>
      <c r="B47" s="445">
        <v>48</v>
      </c>
      <c r="D47" s="446"/>
    </row>
    <row r="48" spans="1:9">
      <c r="A48" s="444" t="s">
        <v>348</v>
      </c>
      <c r="B48" s="445">
        <v>49</v>
      </c>
      <c r="D48" s="446"/>
    </row>
    <row r="49" spans="1:13">
      <c r="A49" s="444" t="s">
        <v>349</v>
      </c>
      <c r="B49" s="445">
        <v>50</v>
      </c>
      <c r="D49" s="446"/>
    </row>
    <row r="50" spans="1:13" hidden="1"/>
    <row r="51" spans="1:13" hidden="1">
      <c r="M51" s="446"/>
    </row>
    <row r="52" spans="1:13" hidden="1">
      <c r="M52" s="446"/>
    </row>
  </sheetData>
  <sheetProtection password="CAF1" sheet="1" formatCells="0" formatColumns="0" formatRows="0" insertColumns="0" insertRows="0" insertHyperlinks="0" deleteColumns="0" deleteRows="0" sort="0" autoFilter="0" pivotTables="0"/>
  <mergeCells count="2">
    <mergeCell ref="A15:B15"/>
    <mergeCell ref="A16:B16"/>
  </mergeCells>
  <phoneticPr fontId="8" type="noConversion"/>
  <hyperlinks>
    <hyperlink ref="A19" location="'Газпром в мире'!A1" display="Газпром в энергетике России и мира"/>
    <hyperlink ref="A20" location="Макроэкономика!A1" display="Макроэкономические данные"/>
    <hyperlink ref="A27" location="Лицензии!A1" display="Лицензии"/>
    <hyperlink ref="A31" location="'Добыча по округам'!A1" display="Распределение добычи углеводородов Группой Газпром по регионам России "/>
    <hyperlink ref="A32" location="'ГРР и бурение'!A1" display="Геологоразведка, эксплуатационное бурение и промысловые мощности"/>
    <hyperlink ref="A33" location="'Зарубежные проекты'!A1" display="Основные проекты в области поиска, разведки и добычи углеводородов в зарубежных странах"/>
    <hyperlink ref="A34" location="'Российские проекты'!A1" display="Перспективные месторождения на территории России"/>
    <hyperlink ref="A35" location="Транспортировка!A1" display="Транспортировка"/>
    <hyperlink ref="A36" location="'Газотранспортные проекты'!A1" display="Газотранспортные проекты"/>
    <hyperlink ref="A37" location="ПХГ!A1" display="Подземное хранение газа"/>
    <hyperlink ref="A41" location="Электроэнергетика!A1" display="Производство тепла и электроэнергии"/>
    <hyperlink ref="A42" location="'Реализация газа'!A1" display="Реализация газа"/>
    <hyperlink ref="A44" location="'Продажа жидких'!A1" display="Реализация нефти, газового конденсата и продуктов переработки"/>
    <hyperlink ref="A45" location="'Продажа энергии и услуг'!A1" display="Реализация тепла и электроэнергии, услуг по транспортировке газа"/>
    <hyperlink ref="A46" location="Экология!A1" display="Экология, энергосбережение, НИОКР"/>
    <hyperlink ref="A47" location="Персонал!A1" display="Персонал"/>
    <hyperlink ref="A48" location="Коэффициенты!A1" display="Коэффициенты пересчета"/>
    <hyperlink ref="A49" location="Глоссарий!A1" display="Глоссарий основных понятий и сокращений"/>
    <hyperlink ref="A18" location="Примечания!A1" display="Примечания"/>
    <hyperlink ref="A21" location="Индикаторы!A1" display="Рыночные индикаторы"/>
    <hyperlink ref="A22" location="Классификация!A1" display="Классификация запасов"/>
    <hyperlink ref="A23" location="'Суммарные запасы'!A1" display="Запасы углеводородов Группы Газпром на территории Российской Федерации"/>
    <hyperlink ref="A25" location="'Запасы по округам'!A1" display="Распределение запасов углеводородов категорий A+B+C1 Группы Газпром по регионам России"/>
    <hyperlink ref="A24" location="'Запасы дочерних'!A1" display="Запасы углеводородов обществ Группы Газпром на территории Российской Федерации"/>
    <hyperlink ref="A26" location="'Движение запасов'!A1" display="Движение запасов углеводородов Группы Газпром категорий A+B+C1 в России"/>
    <hyperlink ref="A30" location="'Добыча жидких (кв.)'!A1" display="Квартальная добыча газового конденсата и нефти Группой Газпром на территории Российской Федерации"/>
    <hyperlink ref="A29" location="'Добыча газа (кв.)'!A1" display="Квартальная добыча газа Группой Газпром на территории Российской Федерации"/>
    <hyperlink ref="A28" location="'Всего добыча'!A1" display="Добыча углеводородов Группы Газпром на территории Российской Федерации"/>
    <hyperlink ref="A39" location="'Переработка компаний'!A1" display="Продукция переработки основных дочерних обществ Группы Газпром"/>
    <hyperlink ref="A38" location="Переработка!A1" display="Переработка углеводородов и производство продукции переработки"/>
    <hyperlink ref="A40" location="'ГПЗ и НПЗ'!A1" display="Размещение перерабатывающих нефте- и газохимических предприятий"/>
    <hyperlink ref="A43" location="'Рынок газа в России'!A1" display="Рынок газа в России"/>
    <hyperlink ref="B18" location="Примечания!A1" display="Примечания!A1"/>
    <hyperlink ref="B19" location="'Газпром в мире'!A1" display="'Газпром в мире'!A1"/>
    <hyperlink ref="B20" location="Макроэкономика!A1" display="Макроэкономика!A1"/>
    <hyperlink ref="B21" location="Индикаторы!A1" display="Индикаторы!A1"/>
    <hyperlink ref="B22" location="Классификация!A1" display="Классификация!A1"/>
    <hyperlink ref="B23" location="'Суммарные запасы'!A1" display="'Суммарные запасы'!A1"/>
    <hyperlink ref="B24" location="'Запасы дочерних'!A1" display="'Запасы дочерних'!A1"/>
    <hyperlink ref="B25" location="'Запасы по округам'!A1" display="'Запасы по округам'!A1"/>
    <hyperlink ref="B26" location="'Движение запасов'!A1" display="'Движение запасов'!A1"/>
    <hyperlink ref="B27" location="Лицензии!A1" display="Лицензии!A1"/>
    <hyperlink ref="B28" location="'Всего добыча'!A1" display="'Всего добыча'!A1"/>
    <hyperlink ref="B29" location="'Добыча газа (кв.)'!A1" display="'Добыча газа (кв.)'!A1"/>
    <hyperlink ref="B30" location="'Добыча жидких (кв.)'!A1" display="'Добыча жидких (кв.)'!A1"/>
    <hyperlink ref="B31" location="'Добыча по округам'!A1" display="'Добыча по округам'!A1"/>
    <hyperlink ref="B32" location="'ГРР и бурение'!A1" display="'ГРР и бурение'!A1"/>
    <hyperlink ref="B33" location="'Зарубежные проекты'!A1" display="'Зарубежные проекты'!A1"/>
    <hyperlink ref="B34" location="'Российские проекты'!A1" display="'Российские проекты'!A1"/>
    <hyperlink ref="B35" location="Транспортировка!A1" display="Транспортировка!A1"/>
    <hyperlink ref="B36" location="'Газотранспортные проекты'!A1" display="'Газотранспортные проекты'!A1"/>
    <hyperlink ref="B37" location="ПХГ!A1" display="ПХГ!A1"/>
    <hyperlink ref="B38" location="Переработка!A1" display="Переработка!A1"/>
    <hyperlink ref="B39" location="'Переработка компаний'!A1" display="'Переработка компаний'!A1"/>
    <hyperlink ref="B40" location="'ГПЗ и НПЗ'!A1" display="'ГПЗ и НПЗ'!A1"/>
    <hyperlink ref="B41" location="Электроэнергетика!A1" display="Электроэнергетика!A1"/>
    <hyperlink ref="B42" location="'Реализация газа'!A1" display="'Реализация газа'!A1"/>
    <hyperlink ref="B43" location="'Рынок газа в России'!A1" display="'Рынок газа в России'!A1"/>
    <hyperlink ref="B44" location="'Продажа жидких'!A1" display="'Продажа жидких'!A1"/>
    <hyperlink ref="B45" location="'Продажа энергии и услуг'!A1" display="'Продажа энергии и услуг'!A1"/>
    <hyperlink ref="B46" location="Экология!A1" display="Экология!A1"/>
    <hyperlink ref="B47" location="Персонал!A1" display="Персонал!A1"/>
    <hyperlink ref="B48" location="Коэффициенты!A1" display="Коэффициенты!A1"/>
    <hyperlink ref="B49" location="Глоссарий!A1" display="Глоссарий!A1"/>
  </hyperlinks>
  <pageMargins left="0.75" right="0.75" top="1" bottom="1" header="0.5" footer="0.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codeName="Лист10"/>
  <dimension ref="A1:N67"/>
  <sheetViews>
    <sheetView showGridLines="0" zoomScaleNormal="100" zoomScaleSheetLayoutView="100" workbookViewId="0"/>
  </sheetViews>
  <sheetFormatPr defaultColWidth="0" defaultRowHeight="13.2" zeroHeight="1" outlineLevelRow="1"/>
  <cols>
    <col min="1" max="1" width="39.109375" style="4" customWidth="1"/>
    <col min="2" max="4" width="9.44140625" style="4" customWidth="1"/>
    <col min="5" max="5" width="1.33203125" style="4" customWidth="1"/>
    <col min="6" max="9" width="9.44140625" style="4" customWidth="1"/>
    <col min="10" max="10" width="1.33203125" style="4" customWidth="1"/>
    <col min="11" max="14" width="9.44140625" style="4" customWidth="1"/>
    <col min="15" max="16384" width="0" style="4" hidden="1"/>
  </cols>
  <sheetData>
    <row r="1" spans="1:14" ht="18">
      <c r="A1" s="51" t="s">
        <v>5</v>
      </c>
      <c r="B1" s="28"/>
      <c r="C1" s="28"/>
      <c r="D1" s="28"/>
      <c r="E1" s="29"/>
      <c r="F1" s="28"/>
      <c r="G1" s="28"/>
      <c r="H1" s="28"/>
      <c r="I1" s="28"/>
      <c r="J1" s="29"/>
      <c r="K1" s="28"/>
      <c r="L1" s="28"/>
      <c r="M1" s="28"/>
      <c r="N1" s="28"/>
    </row>
    <row r="2" spans="1:14">
      <c r="A2" s="34"/>
      <c r="B2" s="24" t="s">
        <v>578</v>
      </c>
      <c r="C2" s="24" t="s">
        <v>44</v>
      </c>
      <c r="D2" s="24" t="s">
        <v>579</v>
      </c>
      <c r="E2" s="31"/>
      <c r="F2" s="24" t="s">
        <v>578</v>
      </c>
      <c r="G2" s="24" t="s">
        <v>44</v>
      </c>
      <c r="H2" s="24" t="s">
        <v>579</v>
      </c>
      <c r="I2" s="24" t="s">
        <v>580</v>
      </c>
      <c r="J2" s="31"/>
      <c r="K2" s="24" t="s">
        <v>578</v>
      </c>
      <c r="L2" s="24" t="s">
        <v>44</v>
      </c>
      <c r="M2" s="24" t="s">
        <v>579</v>
      </c>
      <c r="N2" s="24" t="s">
        <v>580</v>
      </c>
    </row>
    <row r="3" spans="1:14" ht="12.75" customHeight="1">
      <c r="A3" s="34"/>
      <c r="B3" s="24" t="s">
        <v>43</v>
      </c>
      <c r="C3" s="24" t="s">
        <v>581</v>
      </c>
      <c r="D3" s="24" t="s">
        <v>581</v>
      </c>
      <c r="E3" s="31"/>
      <c r="F3" s="488" t="s">
        <v>409</v>
      </c>
      <c r="G3" s="488"/>
      <c r="H3" s="488"/>
      <c r="I3" s="488"/>
      <c r="J3" s="31"/>
      <c r="K3" s="488" t="s">
        <v>410</v>
      </c>
      <c r="L3" s="488"/>
      <c r="M3" s="488"/>
      <c r="N3" s="488"/>
    </row>
    <row r="4" spans="1:14" ht="13.8" hidden="1" outlineLevel="1" thickBot="1">
      <c r="A4" s="52" t="s">
        <v>50</v>
      </c>
      <c r="B4" s="53">
        <v>29130.7</v>
      </c>
      <c r="C4" s="53">
        <v>1216.3</v>
      </c>
      <c r="D4" s="53">
        <v>1357.5</v>
      </c>
      <c r="E4" s="54"/>
      <c r="F4" s="53">
        <f>ROUND(B4*1.154,1)</f>
        <v>33616.800000000003</v>
      </c>
      <c r="G4" s="53">
        <f>ROUND(C4*1.43,1)</f>
        <v>1739.3</v>
      </c>
      <c r="H4" s="53">
        <f>ROUND(D4*1.43,1)</f>
        <v>1941.2</v>
      </c>
      <c r="I4" s="53">
        <f>SUM(F4:H4)</f>
        <v>37297.300000000003</v>
      </c>
      <c r="J4" s="54"/>
      <c r="K4" s="53">
        <f>ROUND(B4*5.89,1)</f>
        <v>171579.8</v>
      </c>
      <c r="L4" s="53">
        <f>ROUND(C4*8.18,1)</f>
        <v>9949.2999999999993</v>
      </c>
      <c r="M4" s="53">
        <f>ROUND(D4*7.33,1)</f>
        <v>9950.5</v>
      </c>
      <c r="N4" s="53">
        <f>SUM(K4:M4)</f>
        <v>191479.59999999998</v>
      </c>
    </row>
    <row r="5" spans="1:14" hidden="1" outlineLevel="1">
      <c r="A5" s="55" t="s">
        <v>582</v>
      </c>
      <c r="B5" s="56">
        <v>590.9</v>
      </c>
      <c r="C5" s="56">
        <v>11.9</v>
      </c>
      <c r="D5" s="56">
        <v>47</v>
      </c>
      <c r="E5" s="57"/>
      <c r="F5" s="56">
        <f>ROUND(B5*1.154,1)</f>
        <v>681.9</v>
      </c>
      <c r="G5" s="56">
        <f>ROUND(C5*1.43,1)</f>
        <v>17</v>
      </c>
      <c r="H5" s="56">
        <f>ROUND(D5*1.43,1)</f>
        <v>67.2</v>
      </c>
      <c r="I5" s="56">
        <f t="shared" ref="I5:I59" si="0">SUM(F5:H5)</f>
        <v>766.1</v>
      </c>
      <c r="J5" s="57"/>
      <c r="K5" s="56">
        <f>ROUND(B5*5.89,1)</f>
        <v>3480.4</v>
      </c>
      <c r="L5" s="56">
        <f>ROUND(C5*8.18,1)</f>
        <v>97.3</v>
      </c>
      <c r="M5" s="56">
        <f>ROUND(D5*7.33,1)</f>
        <v>344.5</v>
      </c>
      <c r="N5" s="56">
        <f t="shared" ref="N5:N59" si="1">SUM(K5:M5)</f>
        <v>3922.2000000000003</v>
      </c>
    </row>
    <row r="6" spans="1:14" ht="21.6" hidden="1" outlineLevel="1">
      <c r="A6" s="55" t="s">
        <v>45</v>
      </c>
      <c r="B6" s="56">
        <v>-59.8</v>
      </c>
      <c r="C6" s="56">
        <v>-1.2</v>
      </c>
      <c r="D6" s="56">
        <v>0</v>
      </c>
      <c r="E6" s="58"/>
      <c r="F6" s="56">
        <f>ROUND(B6*1.154,1)</f>
        <v>-69</v>
      </c>
      <c r="G6" s="56">
        <f>ROUNDUP(C6*1.43,1)</f>
        <v>-1.8</v>
      </c>
      <c r="H6" s="56">
        <f t="shared" ref="H6:H48" si="2">ROUND(D6*1.43,1)</f>
        <v>0</v>
      </c>
      <c r="I6" s="56">
        <f t="shared" si="0"/>
        <v>-70.8</v>
      </c>
      <c r="J6" s="58"/>
      <c r="K6" s="56">
        <f t="shared" ref="K6:K60" si="3">ROUND(B6*5.89,1)</f>
        <v>-352.2</v>
      </c>
      <c r="L6" s="56">
        <f t="shared" ref="L6:L60" si="4">ROUND(C6*8.18,1)</f>
        <v>-9.8000000000000007</v>
      </c>
      <c r="M6" s="56">
        <f t="shared" ref="M6:M60" si="5">ROUND(D6*7.33,1)</f>
        <v>0</v>
      </c>
      <c r="N6" s="56">
        <f t="shared" si="1"/>
        <v>-362</v>
      </c>
    </row>
    <row r="7" spans="1:14" ht="15.6" hidden="1" outlineLevel="1">
      <c r="A7" s="55" t="s">
        <v>583</v>
      </c>
      <c r="B7" s="56">
        <v>819.2</v>
      </c>
      <c r="C7" s="56">
        <v>0</v>
      </c>
      <c r="D7" s="56">
        <v>0.7</v>
      </c>
      <c r="E7" s="58"/>
      <c r="F7" s="56">
        <f>ROUNDDOWN(B7*1.154,1)</f>
        <v>945.3</v>
      </c>
      <c r="G7" s="56">
        <f>ROUND(C7*1.43,1)</f>
        <v>0</v>
      </c>
      <c r="H7" s="56">
        <f t="shared" si="2"/>
        <v>1</v>
      </c>
      <c r="I7" s="56">
        <f t="shared" si="0"/>
        <v>946.3</v>
      </c>
      <c r="J7" s="58"/>
      <c r="K7" s="56">
        <f t="shared" si="3"/>
        <v>4825.1000000000004</v>
      </c>
      <c r="L7" s="56">
        <f t="shared" si="4"/>
        <v>0</v>
      </c>
      <c r="M7" s="56">
        <f t="shared" si="5"/>
        <v>5.0999999999999996</v>
      </c>
      <c r="N7" s="56">
        <f t="shared" si="1"/>
        <v>4830.2000000000007</v>
      </c>
    </row>
    <row r="8" spans="1:14" ht="15.6" hidden="1" outlineLevel="1">
      <c r="A8" s="59" t="s">
        <v>46</v>
      </c>
      <c r="B8" s="56">
        <v>817.7</v>
      </c>
      <c r="C8" s="56">
        <v>0</v>
      </c>
      <c r="D8" s="56">
        <v>0.2</v>
      </c>
      <c r="E8" s="58"/>
      <c r="F8" s="56">
        <f t="shared" ref="F8:F16" si="6">ROUND(B8*1.154,1)</f>
        <v>943.6</v>
      </c>
      <c r="G8" s="56">
        <f t="shared" ref="G8:G60" si="7">ROUND(C8*1.43,1)</f>
        <v>0</v>
      </c>
      <c r="H8" s="56">
        <f t="shared" si="2"/>
        <v>0.3</v>
      </c>
      <c r="I8" s="56">
        <f t="shared" si="0"/>
        <v>943.9</v>
      </c>
      <c r="J8" s="58"/>
      <c r="K8" s="56">
        <f t="shared" si="3"/>
        <v>4816.3</v>
      </c>
      <c r="L8" s="56">
        <f t="shared" si="4"/>
        <v>0</v>
      </c>
      <c r="M8" s="56">
        <f t="shared" si="5"/>
        <v>1.5</v>
      </c>
      <c r="N8" s="56">
        <f t="shared" si="1"/>
        <v>4817.8</v>
      </c>
    </row>
    <row r="9" spans="1:14" ht="15.6" hidden="1" outlineLevel="1">
      <c r="A9" s="60" t="s">
        <v>280</v>
      </c>
      <c r="B9" s="56">
        <v>1.5</v>
      </c>
      <c r="C9" s="56">
        <v>0</v>
      </c>
      <c r="D9" s="56">
        <v>0.5</v>
      </c>
      <c r="E9" s="58"/>
      <c r="F9" s="56">
        <f t="shared" si="6"/>
        <v>1.7</v>
      </c>
      <c r="G9" s="56">
        <f t="shared" si="7"/>
        <v>0</v>
      </c>
      <c r="H9" s="56">
        <f t="shared" si="2"/>
        <v>0.7</v>
      </c>
      <c r="I9" s="56">
        <f t="shared" si="0"/>
        <v>2.4</v>
      </c>
      <c r="J9" s="58"/>
      <c r="K9" s="56">
        <f t="shared" si="3"/>
        <v>8.8000000000000007</v>
      </c>
      <c r="L9" s="56">
        <f t="shared" si="4"/>
        <v>0</v>
      </c>
      <c r="M9" s="56">
        <f>ROUNDDOWN(D9*7.33,1)</f>
        <v>3.6</v>
      </c>
      <c r="N9" s="56">
        <f t="shared" si="1"/>
        <v>12.4</v>
      </c>
    </row>
    <row r="10" spans="1:14" ht="15.6" hidden="1" outlineLevel="1">
      <c r="A10" s="55" t="s">
        <v>584</v>
      </c>
      <c r="B10" s="56">
        <v>-9.5</v>
      </c>
      <c r="C10" s="56">
        <v>-0.1</v>
      </c>
      <c r="D10" s="56">
        <v>0</v>
      </c>
      <c r="E10" s="58"/>
      <c r="F10" s="56">
        <f t="shared" si="6"/>
        <v>-11</v>
      </c>
      <c r="G10" s="56">
        <f t="shared" si="7"/>
        <v>-0.1</v>
      </c>
      <c r="H10" s="56">
        <f t="shared" si="2"/>
        <v>0</v>
      </c>
      <c r="I10" s="56">
        <f t="shared" si="0"/>
        <v>-11.1</v>
      </c>
      <c r="J10" s="58"/>
      <c r="K10" s="56">
        <f t="shared" si="3"/>
        <v>-56</v>
      </c>
      <c r="L10" s="56">
        <f t="shared" si="4"/>
        <v>-0.8</v>
      </c>
      <c r="M10" s="56">
        <f t="shared" si="5"/>
        <v>0</v>
      </c>
      <c r="N10" s="56">
        <f t="shared" si="1"/>
        <v>-56.8</v>
      </c>
    </row>
    <row r="11" spans="1:14" hidden="1" outlineLevel="1">
      <c r="A11" s="55" t="s">
        <v>585</v>
      </c>
      <c r="B11" s="56">
        <v>0</v>
      </c>
      <c r="C11" s="56">
        <v>0</v>
      </c>
      <c r="D11" s="56">
        <v>0</v>
      </c>
      <c r="E11" s="57"/>
      <c r="F11" s="56">
        <f t="shared" si="6"/>
        <v>0</v>
      </c>
      <c r="G11" s="56">
        <f t="shared" si="7"/>
        <v>0</v>
      </c>
      <c r="H11" s="56">
        <f t="shared" si="2"/>
        <v>0</v>
      </c>
      <c r="I11" s="56">
        <f t="shared" si="0"/>
        <v>0</v>
      </c>
      <c r="J11" s="57"/>
      <c r="K11" s="56">
        <f t="shared" si="3"/>
        <v>0</v>
      </c>
      <c r="L11" s="56">
        <f t="shared" si="4"/>
        <v>0</v>
      </c>
      <c r="M11" s="56">
        <f t="shared" si="5"/>
        <v>0</v>
      </c>
      <c r="N11" s="56">
        <f t="shared" si="1"/>
        <v>0</v>
      </c>
    </row>
    <row r="12" spans="1:14" hidden="1" outlineLevel="1">
      <c r="A12" s="55" t="s">
        <v>586</v>
      </c>
      <c r="B12" s="56">
        <v>0</v>
      </c>
      <c r="C12" s="56">
        <v>0</v>
      </c>
      <c r="D12" s="56">
        <v>0</v>
      </c>
      <c r="E12" s="57"/>
      <c r="F12" s="56">
        <f t="shared" si="6"/>
        <v>0</v>
      </c>
      <c r="G12" s="56">
        <f t="shared" si="7"/>
        <v>0</v>
      </c>
      <c r="H12" s="56">
        <f t="shared" si="2"/>
        <v>0</v>
      </c>
      <c r="I12" s="56">
        <f t="shared" si="0"/>
        <v>0</v>
      </c>
      <c r="J12" s="57"/>
      <c r="K12" s="56">
        <f t="shared" si="3"/>
        <v>0</v>
      </c>
      <c r="L12" s="56">
        <f t="shared" si="4"/>
        <v>0</v>
      </c>
      <c r="M12" s="56">
        <f t="shared" si="5"/>
        <v>0</v>
      </c>
      <c r="N12" s="56">
        <f t="shared" si="1"/>
        <v>0</v>
      </c>
    </row>
    <row r="13" spans="1:14" hidden="1" outlineLevel="1">
      <c r="A13" s="55" t="s">
        <v>637</v>
      </c>
      <c r="B13" s="56">
        <v>-59.4</v>
      </c>
      <c r="C13" s="56">
        <v>-1.5</v>
      </c>
      <c r="D13" s="56">
        <v>15.7</v>
      </c>
      <c r="E13" s="57"/>
      <c r="F13" s="56">
        <f t="shared" si="6"/>
        <v>-68.5</v>
      </c>
      <c r="G13" s="56">
        <f t="shared" si="7"/>
        <v>-2.1</v>
      </c>
      <c r="H13" s="56">
        <f t="shared" si="2"/>
        <v>22.5</v>
      </c>
      <c r="I13" s="56">
        <f t="shared" si="0"/>
        <v>-48.099999999999994</v>
      </c>
      <c r="J13" s="57"/>
      <c r="K13" s="56">
        <f t="shared" si="3"/>
        <v>-349.9</v>
      </c>
      <c r="L13" s="56">
        <f>ROUNDDOWN(C13*8.18,1)</f>
        <v>-12.2</v>
      </c>
      <c r="M13" s="56">
        <f t="shared" si="5"/>
        <v>115.1</v>
      </c>
      <c r="N13" s="56">
        <f t="shared" si="1"/>
        <v>-246.99999999999997</v>
      </c>
    </row>
    <row r="14" spans="1:14" ht="13.8" hidden="1" outlineLevel="1" thickBot="1">
      <c r="A14" s="61" t="s">
        <v>638</v>
      </c>
      <c r="B14" s="62">
        <v>-557.9</v>
      </c>
      <c r="C14" s="62">
        <v>-8.4</v>
      </c>
      <c r="D14" s="62">
        <v>-34</v>
      </c>
      <c r="E14" s="57"/>
      <c r="F14" s="62">
        <f t="shared" si="6"/>
        <v>-643.79999999999995</v>
      </c>
      <c r="G14" s="62">
        <f t="shared" si="7"/>
        <v>-12</v>
      </c>
      <c r="H14" s="62">
        <f t="shared" si="2"/>
        <v>-48.6</v>
      </c>
      <c r="I14" s="62">
        <f t="shared" si="0"/>
        <v>-704.4</v>
      </c>
      <c r="J14" s="57"/>
      <c r="K14" s="62">
        <f t="shared" si="3"/>
        <v>-3286</v>
      </c>
      <c r="L14" s="62">
        <f t="shared" si="4"/>
        <v>-68.7</v>
      </c>
      <c r="M14" s="62">
        <f t="shared" si="5"/>
        <v>-249.2</v>
      </c>
      <c r="N14" s="62">
        <f t="shared" si="1"/>
        <v>-3603.8999999999996</v>
      </c>
    </row>
    <row r="15" spans="1:14" ht="13.8" collapsed="1" thickBot="1">
      <c r="A15" s="52" t="s">
        <v>51</v>
      </c>
      <c r="B15" s="53">
        <v>29854.2</v>
      </c>
      <c r="C15" s="53">
        <v>1217</v>
      </c>
      <c r="D15" s="53">
        <v>1386.9</v>
      </c>
      <c r="E15" s="54"/>
      <c r="F15" s="53">
        <f t="shared" si="6"/>
        <v>34451.699999999997</v>
      </c>
      <c r="G15" s="53">
        <f t="shared" si="7"/>
        <v>1740.3</v>
      </c>
      <c r="H15" s="53">
        <f t="shared" si="2"/>
        <v>1983.3</v>
      </c>
      <c r="I15" s="53">
        <f t="shared" si="0"/>
        <v>38175.300000000003</v>
      </c>
      <c r="J15" s="54"/>
      <c r="K15" s="53">
        <f t="shared" si="3"/>
        <v>175841.2</v>
      </c>
      <c r="L15" s="53">
        <f t="shared" si="4"/>
        <v>9955.1</v>
      </c>
      <c r="M15" s="53">
        <f t="shared" si="5"/>
        <v>10166</v>
      </c>
      <c r="N15" s="53">
        <f t="shared" si="1"/>
        <v>195962.30000000002</v>
      </c>
    </row>
    <row r="16" spans="1:14">
      <c r="A16" s="55" t="s">
        <v>582</v>
      </c>
      <c r="B16" s="56">
        <v>592.1</v>
      </c>
      <c r="C16" s="56">
        <v>9.6999999999999993</v>
      </c>
      <c r="D16" s="56">
        <v>19.899999999999999</v>
      </c>
      <c r="E16" s="57"/>
      <c r="F16" s="56">
        <f t="shared" si="6"/>
        <v>683.3</v>
      </c>
      <c r="G16" s="56">
        <f t="shared" si="7"/>
        <v>13.9</v>
      </c>
      <c r="H16" s="56">
        <f t="shared" si="2"/>
        <v>28.5</v>
      </c>
      <c r="I16" s="56">
        <f t="shared" si="0"/>
        <v>725.69999999999993</v>
      </c>
      <c r="J16" s="57"/>
      <c r="K16" s="56">
        <f t="shared" si="3"/>
        <v>3487.5</v>
      </c>
      <c r="L16" s="56">
        <f t="shared" si="4"/>
        <v>79.3</v>
      </c>
      <c r="M16" s="56">
        <f t="shared" si="5"/>
        <v>145.9</v>
      </c>
      <c r="N16" s="56">
        <f t="shared" si="1"/>
        <v>3712.7000000000003</v>
      </c>
    </row>
    <row r="17" spans="1:14" ht="21">
      <c r="A17" s="55" t="s">
        <v>47</v>
      </c>
      <c r="B17" s="56">
        <v>-149.69999999999999</v>
      </c>
      <c r="C17" s="56">
        <v>-1.8</v>
      </c>
      <c r="D17" s="56">
        <v>-0.2</v>
      </c>
      <c r="E17" s="57"/>
      <c r="F17" s="56">
        <f>ROUNDDOWN(B17*1.154,1)</f>
        <v>-172.7</v>
      </c>
      <c r="G17" s="56">
        <f t="shared" si="7"/>
        <v>-2.6</v>
      </c>
      <c r="H17" s="56">
        <f t="shared" si="2"/>
        <v>-0.3</v>
      </c>
      <c r="I17" s="56">
        <f t="shared" si="0"/>
        <v>-175.6</v>
      </c>
      <c r="J17" s="57"/>
      <c r="K17" s="56">
        <f>ROUNDDOWN(B17*5.89,1)</f>
        <v>-881.7</v>
      </c>
      <c r="L17" s="56">
        <f t="shared" si="4"/>
        <v>-14.7</v>
      </c>
      <c r="M17" s="56">
        <f t="shared" si="5"/>
        <v>-1.5</v>
      </c>
      <c r="N17" s="56">
        <f t="shared" si="1"/>
        <v>-897.90000000000009</v>
      </c>
    </row>
    <row r="18" spans="1:14">
      <c r="A18" s="55" t="s">
        <v>583</v>
      </c>
      <c r="B18" s="56">
        <v>53.1</v>
      </c>
      <c r="C18" s="56">
        <v>0.3</v>
      </c>
      <c r="D18" s="56">
        <v>28</v>
      </c>
      <c r="E18" s="57"/>
      <c r="F18" s="56">
        <f t="shared" ref="F18:F27" si="8">ROUND(B18*1.154,1)</f>
        <v>61.3</v>
      </c>
      <c r="G18" s="56">
        <f t="shared" si="7"/>
        <v>0.4</v>
      </c>
      <c r="H18" s="56">
        <f t="shared" si="2"/>
        <v>40</v>
      </c>
      <c r="I18" s="56">
        <f t="shared" si="0"/>
        <v>101.69999999999999</v>
      </c>
      <c r="J18" s="57"/>
      <c r="K18" s="56">
        <f>ROUNDDOWN(B18*5.89,1)</f>
        <v>312.7</v>
      </c>
      <c r="L18" s="56">
        <f t="shared" si="4"/>
        <v>2.5</v>
      </c>
      <c r="M18" s="56">
        <f t="shared" si="5"/>
        <v>205.2</v>
      </c>
      <c r="N18" s="56">
        <f t="shared" si="1"/>
        <v>520.4</v>
      </c>
    </row>
    <row r="19" spans="1:14" ht="15.6">
      <c r="A19" s="59" t="s">
        <v>46</v>
      </c>
      <c r="B19" s="56">
        <v>19.3</v>
      </c>
      <c r="C19" s="56">
        <v>0.3</v>
      </c>
      <c r="D19" s="56">
        <v>15</v>
      </c>
      <c r="E19" s="58"/>
      <c r="F19" s="56">
        <f t="shared" si="8"/>
        <v>22.3</v>
      </c>
      <c r="G19" s="56">
        <f t="shared" si="7"/>
        <v>0.4</v>
      </c>
      <c r="H19" s="56">
        <f t="shared" si="2"/>
        <v>21.5</v>
      </c>
      <c r="I19" s="56">
        <f t="shared" si="0"/>
        <v>44.2</v>
      </c>
      <c r="J19" s="58"/>
      <c r="K19" s="56">
        <f>ROUNDDOWN(B19*5.89,1)</f>
        <v>113.6</v>
      </c>
      <c r="L19" s="56">
        <f t="shared" si="4"/>
        <v>2.5</v>
      </c>
      <c r="M19" s="56">
        <f>ROUNDDOWN(D19*7.33,1)</f>
        <v>109.9</v>
      </c>
      <c r="N19" s="56">
        <f t="shared" si="1"/>
        <v>226</v>
      </c>
    </row>
    <row r="20" spans="1:14" ht="15.6">
      <c r="A20" s="60" t="s">
        <v>280</v>
      </c>
      <c r="B20" s="56">
        <v>33.799999999999997</v>
      </c>
      <c r="C20" s="56">
        <v>0</v>
      </c>
      <c r="D20" s="56">
        <v>13</v>
      </c>
      <c r="E20" s="58"/>
      <c r="F20" s="56">
        <f t="shared" si="8"/>
        <v>39</v>
      </c>
      <c r="G20" s="56">
        <f t="shared" si="7"/>
        <v>0</v>
      </c>
      <c r="H20" s="56">
        <f>ROUNDDOWN(D20*1.43,1)</f>
        <v>18.5</v>
      </c>
      <c r="I20" s="56">
        <f t="shared" si="0"/>
        <v>57.5</v>
      </c>
      <c r="J20" s="58"/>
      <c r="K20" s="56">
        <f t="shared" si="3"/>
        <v>199.1</v>
      </c>
      <c r="L20" s="56">
        <f t="shared" si="4"/>
        <v>0</v>
      </c>
      <c r="M20" s="56">
        <f t="shared" si="5"/>
        <v>95.3</v>
      </c>
      <c r="N20" s="56">
        <f t="shared" si="1"/>
        <v>294.39999999999998</v>
      </c>
    </row>
    <row r="21" spans="1:14" ht="15.6">
      <c r="A21" s="55" t="s">
        <v>584</v>
      </c>
      <c r="B21" s="56">
        <v>0</v>
      </c>
      <c r="C21" s="56">
        <v>0</v>
      </c>
      <c r="D21" s="56">
        <v>0</v>
      </c>
      <c r="E21" s="58"/>
      <c r="F21" s="56">
        <f t="shared" si="8"/>
        <v>0</v>
      </c>
      <c r="G21" s="56">
        <f t="shared" si="7"/>
        <v>0</v>
      </c>
      <c r="H21" s="56">
        <f t="shared" si="2"/>
        <v>0</v>
      </c>
      <c r="I21" s="56">
        <f t="shared" si="0"/>
        <v>0</v>
      </c>
      <c r="J21" s="58"/>
      <c r="K21" s="56">
        <f t="shared" si="3"/>
        <v>0</v>
      </c>
      <c r="L21" s="56">
        <f t="shared" si="4"/>
        <v>0</v>
      </c>
      <c r="M21" s="56">
        <f t="shared" si="5"/>
        <v>0</v>
      </c>
      <c r="N21" s="56">
        <f t="shared" si="1"/>
        <v>0</v>
      </c>
    </row>
    <row r="22" spans="1:14">
      <c r="A22" s="55" t="s">
        <v>585</v>
      </c>
      <c r="B22" s="56">
        <v>0</v>
      </c>
      <c r="C22" s="56">
        <v>0</v>
      </c>
      <c r="D22" s="56">
        <v>5.4</v>
      </c>
      <c r="E22" s="57"/>
      <c r="F22" s="56">
        <f t="shared" si="8"/>
        <v>0</v>
      </c>
      <c r="G22" s="56">
        <f t="shared" si="7"/>
        <v>0</v>
      </c>
      <c r="H22" s="56">
        <f t="shared" si="2"/>
        <v>7.7</v>
      </c>
      <c r="I22" s="56">
        <f t="shared" si="0"/>
        <v>7.7</v>
      </c>
      <c r="J22" s="57"/>
      <c r="K22" s="56">
        <f t="shared" si="3"/>
        <v>0</v>
      </c>
      <c r="L22" s="56">
        <f t="shared" si="4"/>
        <v>0</v>
      </c>
      <c r="M22" s="56">
        <f t="shared" si="5"/>
        <v>39.6</v>
      </c>
      <c r="N22" s="56">
        <f t="shared" si="1"/>
        <v>39.6</v>
      </c>
    </row>
    <row r="23" spans="1:14">
      <c r="A23" s="55" t="s">
        <v>586</v>
      </c>
      <c r="B23" s="56">
        <v>0</v>
      </c>
      <c r="C23" s="56">
        <v>0</v>
      </c>
      <c r="D23" s="56">
        <v>0</v>
      </c>
      <c r="E23" s="57"/>
      <c r="F23" s="56">
        <f t="shared" si="8"/>
        <v>0</v>
      </c>
      <c r="G23" s="56">
        <f t="shared" si="7"/>
        <v>0</v>
      </c>
      <c r="H23" s="56">
        <f t="shared" si="2"/>
        <v>0</v>
      </c>
      <c r="I23" s="56">
        <f t="shared" si="0"/>
        <v>0</v>
      </c>
      <c r="J23" s="57"/>
      <c r="K23" s="56">
        <f t="shared" si="3"/>
        <v>0</v>
      </c>
      <c r="L23" s="56">
        <f t="shared" si="4"/>
        <v>0</v>
      </c>
      <c r="M23" s="56">
        <f t="shared" si="5"/>
        <v>0</v>
      </c>
      <c r="N23" s="56">
        <f t="shared" si="1"/>
        <v>0</v>
      </c>
    </row>
    <row r="24" spans="1:14" ht="12.75" customHeight="1">
      <c r="A24" s="55" t="s">
        <v>637</v>
      </c>
      <c r="B24" s="56">
        <v>-14.5</v>
      </c>
      <c r="C24" s="56">
        <v>-4.5</v>
      </c>
      <c r="D24" s="56">
        <v>103.9</v>
      </c>
      <c r="E24" s="57"/>
      <c r="F24" s="56">
        <f t="shared" si="8"/>
        <v>-16.7</v>
      </c>
      <c r="G24" s="56">
        <f t="shared" si="7"/>
        <v>-6.4</v>
      </c>
      <c r="H24" s="56">
        <f t="shared" si="2"/>
        <v>148.6</v>
      </c>
      <c r="I24" s="56">
        <f t="shared" si="0"/>
        <v>125.5</v>
      </c>
      <c r="J24" s="57"/>
      <c r="K24" s="56">
        <f t="shared" si="3"/>
        <v>-85.4</v>
      </c>
      <c r="L24" s="56">
        <f t="shared" si="4"/>
        <v>-36.799999999999997</v>
      </c>
      <c r="M24" s="56">
        <f t="shared" si="5"/>
        <v>761.6</v>
      </c>
      <c r="N24" s="56">
        <f t="shared" si="1"/>
        <v>639.4</v>
      </c>
    </row>
    <row r="25" spans="1:14" ht="13.8" thickBot="1">
      <c r="A25" s="61" t="s">
        <v>638</v>
      </c>
      <c r="B25" s="62">
        <v>-549.79999999999995</v>
      </c>
      <c r="C25" s="62">
        <v>-8.1999999999999993</v>
      </c>
      <c r="D25" s="62">
        <v>-34</v>
      </c>
      <c r="E25" s="57"/>
      <c r="F25" s="62">
        <f t="shared" si="8"/>
        <v>-634.5</v>
      </c>
      <c r="G25" s="62">
        <f t="shared" si="7"/>
        <v>-11.7</v>
      </c>
      <c r="H25" s="62">
        <f t="shared" si="2"/>
        <v>-48.6</v>
      </c>
      <c r="I25" s="62">
        <f t="shared" si="0"/>
        <v>-694.80000000000007</v>
      </c>
      <c r="J25" s="57"/>
      <c r="K25" s="62">
        <f t="shared" si="3"/>
        <v>-3238.3</v>
      </c>
      <c r="L25" s="62">
        <f t="shared" si="4"/>
        <v>-67.099999999999994</v>
      </c>
      <c r="M25" s="62">
        <f t="shared" si="5"/>
        <v>-249.2</v>
      </c>
      <c r="N25" s="62">
        <f t="shared" si="1"/>
        <v>-3554.6</v>
      </c>
    </row>
    <row r="26" spans="1:14" ht="13.8" thickBot="1">
      <c r="A26" s="63" t="s">
        <v>52</v>
      </c>
      <c r="B26" s="53">
        <v>29785.4</v>
      </c>
      <c r="C26" s="53">
        <v>1212.5</v>
      </c>
      <c r="D26" s="53">
        <v>1509.9</v>
      </c>
      <c r="E26" s="54"/>
      <c r="F26" s="53">
        <f t="shared" si="8"/>
        <v>34372.400000000001</v>
      </c>
      <c r="G26" s="53">
        <f t="shared" si="7"/>
        <v>1733.9</v>
      </c>
      <c r="H26" s="53">
        <f t="shared" si="2"/>
        <v>2159.1999999999998</v>
      </c>
      <c r="I26" s="53">
        <f t="shared" si="0"/>
        <v>38265.5</v>
      </c>
      <c r="J26" s="54"/>
      <c r="K26" s="53">
        <f t="shared" si="3"/>
        <v>175436</v>
      </c>
      <c r="L26" s="53">
        <f t="shared" si="4"/>
        <v>9918.2999999999993</v>
      </c>
      <c r="M26" s="53">
        <f t="shared" si="5"/>
        <v>11067.6</v>
      </c>
      <c r="N26" s="53">
        <f t="shared" si="1"/>
        <v>196421.9</v>
      </c>
    </row>
    <row r="27" spans="1:14">
      <c r="A27" s="64" t="s">
        <v>582</v>
      </c>
      <c r="B27" s="57">
        <v>583.4</v>
      </c>
      <c r="C27" s="57">
        <v>6.9</v>
      </c>
      <c r="D27" s="57">
        <v>54.1</v>
      </c>
      <c r="E27" s="57"/>
      <c r="F27" s="57">
        <f t="shared" si="8"/>
        <v>673.2</v>
      </c>
      <c r="G27" s="57">
        <f t="shared" si="7"/>
        <v>9.9</v>
      </c>
      <c r="H27" s="57">
        <f t="shared" si="2"/>
        <v>77.400000000000006</v>
      </c>
      <c r="I27" s="57">
        <f t="shared" si="0"/>
        <v>760.5</v>
      </c>
      <c r="J27" s="57"/>
      <c r="K27" s="57">
        <f t="shared" si="3"/>
        <v>3436.2</v>
      </c>
      <c r="L27" s="57">
        <f t="shared" si="4"/>
        <v>56.4</v>
      </c>
      <c r="M27" s="57">
        <f t="shared" si="5"/>
        <v>396.6</v>
      </c>
      <c r="N27" s="57">
        <f t="shared" si="1"/>
        <v>3889.2</v>
      </c>
    </row>
    <row r="28" spans="1:14" ht="21">
      <c r="A28" s="55" t="s">
        <v>48</v>
      </c>
      <c r="B28" s="56">
        <v>-25</v>
      </c>
      <c r="C28" s="56">
        <v>-1.4</v>
      </c>
      <c r="D28" s="56">
        <v>-3.1</v>
      </c>
      <c r="E28" s="57"/>
      <c r="F28" s="56">
        <f>ROUNDDOWN(B28*1.154,1)</f>
        <v>-28.8</v>
      </c>
      <c r="G28" s="56">
        <f t="shared" si="7"/>
        <v>-2</v>
      </c>
      <c r="H28" s="56">
        <f>ROUNDUP(D28*1.43,1)</f>
        <v>-4.5</v>
      </c>
      <c r="I28" s="56">
        <f t="shared" si="0"/>
        <v>-35.299999999999997</v>
      </c>
      <c r="J28" s="57"/>
      <c r="K28" s="56">
        <f t="shared" si="3"/>
        <v>-147.30000000000001</v>
      </c>
      <c r="L28" s="56">
        <f t="shared" si="4"/>
        <v>-11.5</v>
      </c>
      <c r="M28" s="56">
        <f t="shared" si="5"/>
        <v>-22.7</v>
      </c>
      <c r="N28" s="56">
        <f t="shared" si="1"/>
        <v>-181.5</v>
      </c>
    </row>
    <row r="29" spans="1:14">
      <c r="A29" s="55" t="s">
        <v>583</v>
      </c>
      <c r="B29" s="56">
        <v>3326.6</v>
      </c>
      <c r="C29" s="56">
        <v>77.7</v>
      </c>
      <c r="D29" s="56">
        <v>67.900000000000006</v>
      </c>
      <c r="E29" s="57"/>
      <c r="F29" s="56">
        <f>ROUND(B29*1.154,1)</f>
        <v>3838.9</v>
      </c>
      <c r="G29" s="56">
        <f t="shared" si="7"/>
        <v>111.1</v>
      </c>
      <c r="H29" s="56">
        <f t="shared" si="2"/>
        <v>97.1</v>
      </c>
      <c r="I29" s="56">
        <f t="shared" si="0"/>
        <v>4047.1</v>
      </c>
      <c r="J29" s="57"/>
      <c r="K29" s="56">
        <f t="shared" si="3"/>
        <v>19593.7</v>
      </c>
      <c r="L29" s="56">
        <f t="shared" si="4"/>
        <v>635.6</v>
      </c>
      <c r="M29" s="56">
        <f t="shared" si="5"/>
        <v>497.7</v>
      </c>
      <c r="N29" s="56">
        <f t="shared" si="1"/>
        <v>20727</v>
      </c>
    </row>
    <row r="30" spans="1:14">
      <c r="A30" s="59" t="s">
        <v>46</v>
      </c>
      <c r="B30" s="56">
        <v>17.2</v>
      </c>
      <c r="C30" s="56">
        <v>0.9</v>
      </c>
      <c r="D30" s="56">
        <v>0</v>
      </c>
      <c r="E30" s="57"/>
      <c r="F30" s="56">
        <f>ROUND(B30*1.154,1)</f>
        <v>19.8</v>
      </c>
      <c r="G30" s="56">
        <f>ROUND(C30*1.43,1)</f>
        <v>1.3</v>
      </c>
      <c r="H30" s="56">
        <f t="shared" si="2"/>
        <v>0</v>
      </c>
      <c r="I30" s="56">
        <f t="shared" si="0"/>
        <v>21.1</v>
      </c>
      <c r="J30" s="57"/>
      <c r="K30" s="56">
        <f>ROUNDUP(B30*5.89,1)</f>
        <v>101.39999999999999</v>
      </c>
      <c r="L30" s="56">
        <f>ROUND(C30*8.18,1)</f>
        <v>7.4</v>
      </c>
      <c r="M30" s="56">
        <f t="shared" si="5"/>
        <v>0</v>
      </c>
      <c r="N30" s="56">
        <f t="shared" si="1"/>
        <v>108.8</v>
      </c>
    </row>
    <row r="31" spans="1:14" ht="15" customHeight="1">
      <c r="A31" s="70" t="s">
        <v>280</v>
      </c>
      <c r="B31" s="56">
        <v>1.5</v>
      </c>
      <c r="C31" s="56">
        <v>0</v>
      </c>
      <c r="D31" s="56">
        <v>1.5</v>
      </c>
      <c r="E31" s="57"/>
      <c r="F31" s="56">
        <f>ROUND(B31*1.154,1)</f>
        <v>1.7</v>
      </c>
      <c r="G31" s="56">
        <f>ROUND(C31*1.43,1)</f>
        <v>0</v>
      </c>
      <c r="H31" s="56">
        <f>ROUND(D31*1.43,1)</f>
        <v>2.1</v>
      </c>
      <c r="I31" s="56">
        <f>SUM(F31:H31)</f>
        <v>3.8</v>
      </c>
      <c r="J31" s="57"/>
      <c r="K31" s="56">
        <f>ROUND(B31*5.89,1)</f>
        <v>8.8000000000000007</v>
      </c>
      <c r="L31" s="56">
        <f>ROUND(C31*8.18,1)</f>
        <v>0</v>
      </c>
      <c r="M31" s="56">
        <f>ROUND(D31*7.33,1)</f>
        <v>11</v>
      </c>
      <c r="N31" s="56">
        <f>SUM(K31:M31)</f>
        <v>19.8</v>
      </c>
    </row>
    <row r="32" spans="1:14" ht="23.25" customHeight="1">
      <c r="A32" s="70" t="s">
        <v>411</v>
      </c>
      <c r="B32" s="56">
        <v>3307.9</v>
      </c>
      <c r="C32" s="56">
        <v>76.8</v>
      </c>
      <c r="D32" s="56">
        <v>66.400000000000006</v>
      </c>
      <c r="E32" s="29"/>
      <c r="F32" s="56">
        <f>ROUNDUP(B32*1.154,1)</f>
        <v>3817.4</v>
      </c>
      <c r="G32" s="56">
        <f>ROUND(C32*1.43,1)</f>
        <v>109.8</v>
      </c>
      <c r="H32" s="56">
        <f>ROUND(D32*1.43,1)</f>
        <v>95</v>
      </c>
      <c r="I32" s="56">
        <f>SUM(F32:H32)</f>
        <v>4022.2000000000003</v>
      </c>
      <c r="J32" s="57"/>
      <c r="K32" s="56">
        <f>ROUND(B32*5.89,1)</f>
        <v>19483.5</v>
      </c>
      <c r="L32" s="56">
        <f>ROUNDDOWN(C32*8.18,1)</f>
        <v>628.20000000000005</v>
      </c>
      <c r="M32" s="56">
        <f>ROUND(D32*7.33,1)</f>
        <v>486.7</v>
      </c>
      <c r="N32" s="56">
        <f>SUM(K32:M32)</f>
        <v>20598.400000000001</v>
      </c>
    </row>
    <row r="33" spans="1:14">
      <c r="A33" s="55" t="s">
        <v>584</v>
      </c>
      <c r="B33" s="56">
        <v>-0.2</v>
      </c>
      <c r="C33" s="56">
        <v>0</v>
      </c>
      <c r="D33" s="56">
        <v>-0.5</v>
      </c>
      <c r="E33" s="57"/>
      <c r="F33" s="56">
        <f t="shared" ref="F33:F54" si="9">ROUND(B33*1.154,1)</f>
        <v>-0.2</v>
      </c>
      <c r="G33" s="56">
        <f t="shared" si="7"/>
        <v>0</v>
      </c>
      <c r="H33" s="56">
        <f t="shared" si="2"/>
        <v>-0.7</v>
      </c>
      <c r="I33" s="56">
        <f t="shared" si="0"/>
        <v>-0.89999999999999991</v>
      </c>
      <c r="J33" s="57"/>
      <c r="K33" s="56">
        <f t="shared" si="3"/>
        <v>-1.2</v>
      </c>
      <c r="L33" s="56">
        <f>ROUND(C33*8.18,1)</f>
        <v>0</v>
      </c>
      <c r="M33" s="56">
        <f t="shared" si="5"/>
        <v>-3.7</v>
      </c>
      <c r="N33" s="56">
        <f t="shared" si="1"/>
        <v>-4.9000000000000004</v>
      </c>
    </row>
    <row r="34" spans="1:14">
      <c r="A34" s="55" t="s">
        <v>585</v>
      </c>
      <c r="B34" s="56">
        <v>1.6</v>
      </c>
      <c r="C34" s="56">
        <v>0</v>
      </c>
      <c r="D34" s="56">
        <v>3.1</v>
      </c>
      <c r="E34" s="57"/>
      <c r="F34" s="56">
        <f t="shared" si="9"/>
        <v>1.8</v>
      </c>
      <c r="G34" s="56">
        <f t="shared" si="7"/>
        <v>0</v>
      </c>
      <c r="H34" s="56">
        <f t="shared" si="2"/>
        <v>4.4000000000000004</v>
      </c>
      <c r="I34" s="56">
        <f t="shared" si="0"/>
        <v>6.2</v>
      </c>
      <c r="J34" s="57"/>
      <c r="K34" s="56">
        <f t="shared" si="3"/>
        <v>9.4</v>
      </c>
      <c r="L34" s="56">
        <f t="shared" si="4"/>
        <v>0</v>
      </c>
      <c r="M34" s="56">
        <f t="shared" si="5"/>
        <v>22.7</v>
      </c>
      <c r="N34" s="56">
        <f t="shared" si="1"/>
        <v>32.1</v>
      </c>
    </row>
    <row r="35" spans="1:14">
      <c r="A35" s="55" t="s">
        <v>586</v>
      </c>
      <c r="B35" s="56">
        <v>0</v>
      </c>
      <c r="C35" s="56">
        <v>0</v>
      </c>
      <c r="D35" s="56">
        <v>0</v>
      </c>
      <c r="E35" s="65"/>
      <c r="F35" s="56">
        <f t="shared" si="9"/>
        <v>0</v>
      </c>
      <c r="G35" s="56">
        <f t="shared" si="7"/>
        <v>0</v>
      </c>
      <c r="H35" s="56">
        <f t="shared" si="2"/>
        <v>0</v>
      </c>
      <c r="I35" s="66">
        <f t="shared" si="0"/>
        <v>0</v>
      </c>
      <c r="J35" s="65"/>
      <c r="K35" s="56">
        <f t="shared" si="3"/>
        <v>0</v>
      </c>
      <c r="L35" s="56">
        <f t="shared" si="4"/>
        <v>0</v>
      </c>
      <c r="M35" s="56">
        <f t="shared" si="5"/>
        <v>0</v>
      </c>
      <c r="N35" s="66">
        <f t="shared" si="1"/>
        <v>0</v>
      </c>
    </row>
    <row r="36" spans="1:14">
      <c r="A36" s="55" t="s">
        <v>637</v>
      </c>
      <c r="B36" s="56">
        <v>1.9</v>
      </c>
      <c r="C36" s="56">
        <v>-0.6</v>
      </c>
      <c r="D36" s="56">
        <v>2.2999999999999998</v>
      </c>
      <c r="E36" s="57"/>
      <c r="F36" s="56">
        <f t="shared" si="9"/>
        <v>2.2000000000000002</v>
      </c>
      <c r="G36" s="56">
        <f t="shared" si="7"/>
        <v>-0.9</v>
      </c>
      <c r="H36" s="56">
        <f t="shared" si="2"/>
        <v>3.3</v>
      </c>
      <c r="I36" s="56">
        <f t="shared" si="0"/>
        <v>4.5999999999999996</v>
      </c>
      <c r="J36" s="57"/>
      <c r="K36" s="56">
        <f t="shared" si="3"/>
        <v>11.2</v>
      </c>
      <c r="L36" s="56">
        <f t="shared" si="4"/>
        <v>-4.9000000000000004</v>
      </c>
      <c r="M36" s="56">
        <f t="shared" si="5"/>
        <v>16.899999999999999</v>
      </c>
      <c r="N36" s="56">
        <f t="shared" si="1"/>
        <v>23.199999999999996</v>
      </c>
    </row>
    <row r="37" spans="1:14" ht="13.8" thickBot="1">
      <c r="A37" s="61" t="s">
        <v>638</v>
      </c>
      <c r="B37" s="62">
        <v>-550.5</v>
      </c>
      <c r="C37" s="62">
        <v>-8</v>
      </c>
      <c r="D37" s="62">
        <v>-32</v>
      </c>
      <c r="E37" s="57"/>
      <c r="F37" s="62">
        <f t="shared" si="9"/>
        <v>-635.29999999999995</v>
      </c>
      <c r="G37" s="62">
        <f t="shared" si="7"/>
        <v>-11.4</v>
      </c>
      <c r="H37" s="62">
        <f t="shared" si="2"/>
        <v>-45.8</v>
      </c>
      <c r="I37" s="62">
        <f t="shared" si="0"/>
        <v>-692.49999999999989</v>
      </c>
      <c r="J37" s="57"/>
      <c r="K37" s="62">
        <f t="shared" si="3"/>
        <v>-3242.4</v>
      </c>
      <c r="L37" s="62">
        <f t="shared" si="4"/>
        <v>-65.400000000000006</v>
      </c>
      <c r="M37" s="62">
        <f t="shared" si="5"/>
        <v>-234.6</v>
      </c>
      <c r="N37" s="62">
        <f t="shared" si="1"/>
        <v>-3542.4</v>
      </c>
    </row>
    <row r="38" spans="1:14" ht="13.8" thickBot="1">
      <c r="A38" s="52" t="s">
        <v>53</v>
      </c>
      <c r="B38" s="53">
        <v>33123.199999999997</v>
      </c>
      <c r="C38" s="53">
        <v>1287.0999999999999</v>
      </c>
      <c r="D38" s="53">
        <v>1601.7</v>
      </c>
      <c r="E38" s="54"/>
      <c r="F38" s="53">
        <f t="shared" si="9"/>
        <v>38224.199999999997</v>
      </c>
      <c r="G38" s="53">
        <f t="shared" si="7"/>
        <v>1840.6</v>
      </c>
      <c r="H38" s="53">
        <f t="shared" si="2"/>
        <v>2290.4</v>
      </c>
      <c r="I38" s="53">
        <f t="shared" si="0"/>
        <v>42355.199999999997</v>
      </c>
      <c r="J38" s="54"/>
      <c r="K38" s="53">
        <f t="shared" si="3"/>
        <v>195095.6</v>
      </c>
      <c r="L38" s="53">
        <f t="shared" si="4"/>
        <v>10528.5</v>
      </c>
      <c r="M38" s="53">
        <f t="shared" si="5"/>
        <v>11740.5</v>
      </c>
      <c r="N38" s="53">
        <f t="shared" si="1"/>
        <v>217364.6</v>
      </c>
    </row>
    <row r="39" spans="1:14">
      <c r="A39" s="55" t="s">
        <v>582</v>
      </c>
      <c r="B39" s="56">
        <v>468.8</v>
      </c>
      <c r="C39" s="67">
        <v>38.549999999999997</v>
      </c>
      <c r="D39" s="56">
        <v>57.5</v>
      </c>
      <c r="E39" s="57"/>
      <c r="F39" s="56">
        <f t="shared" si="9"/>
        <v>541</v>
      </c>
      <c r="G39" s="56">
        <f t="shared" si="7"/>
        <v>55.1</v>
      </c>
      <c r="H39" s="56">
        <f t="shared" si="2"/>
        <v>82.2</v>
      </c>
      <c r="I39" s="56">
        <f t="shared" si="0"/>
        <v>678.30000000000007</v>
      </c>
      <c r="J39" s="57"/>
      <c r="K39" s="56">
        <f t="shared" si="3"/>
        <v>2761.2</v>
      </c>
      <c r="L39" s="56">
        <f t="shared" si="4"/>
        <v>315.3</v>
      </c>
      <c r="M39" s="56">
        <f t="shared" si="5"/>
        <v>421.5</v>
      </c>
      <c r="N39" s="56">
        <f t="shared" si="1"/>
        <v>3498</v>
      </c>
    </row>
    <row r="40" spans="1:14" ht="21">
      <c r="A40" s="55" t="s">
        <v>49</v>
      </c>
      <c r="B40" s="56">
        <v>-41.2</v>
      </c>
      <c r="C40" s="56">
        <v>-1.3</v>
      </c>
      <c r="D40" s="67">
        <v>-5.85</v>
      </c>
      <c r="E40" s="57"/>
      <c r="F40" s="56">
        <f t="shared" si="9"/>
        <v>-47.5</v>
      </c>
      <c r="G40" s="56">
        <f t="shared" si="7"/>
        <v>-1.9</v>
      </c>
      <c r="H40" s="56">
        <f>ROUNDDOWN(D40*1.43,1)</f>
        <v>-8.3000000000000007</v>
      </c>
      <c r="I40" s="56">
        <f t="shared" si="0"/>
        <v>-57.7</v>
      </c>
      <c r="J40" s="57"/>
      <c r="K40" s="56">
        <f>ROUNDDOWN(B40*5.89,1)</f>
        <v>-242.6</v>
      </c>
      <c r="L40" s="56">
        <f t="shared" si="4"/>
        <v>-10.6</v>
      </c>
      <c r="M40" s="56">
        <f>ROUNDDOWN(D40*7.33,1)</f>
        <v>-42.8</v>
      </c>
      <c r="N40" s="56">
        <f t="shared" si="1"/>
        <v>-296</v>
      </c>
    </row>
    <row r="41" spans="1:14">
      <c r="A41" s="55" t="s">
        <v>583</v>
      </c>
      <c r="B41" s="56">
        <v>1.6</v>
      </c>
      <c r="C41" s="67">
        <v>0.05</v>
      </c>
      <c r="D41" s="56">
        <v>2.5</v>
      </c>
      <c r="E41" s="56">
        <f>E43+E42</f>
        <v>0</v>
      </c>
      <c r="F41" s="56">
        <f t="shared" si="9"/>
        <v>1.8</v>
      </c>
      <c r="G41" s="56">
        <f t="shared" si="7"/>
        <v>0.1</v>
      </c>
      <c r="H41" s="56">
        <f t="shared" si="2"/>
        <v>3.6</v>
      </c>
      <c r="I41" s="56">
        <f t="shared" si="0"/>
        <v>5.5</v>
      </c>
      <c r="J41" s="57"/>
      <c r="K41" s="56">
        <f t="shared" si="3"/>
        <v>9.4</v>
      </c>
      <c r="L41" s="56">
        <f t="shared" si="4"/>
        <v>0.4</v>
      </c>
      <c r="M41" s="56">
        <f t="shared" si="5"/>
        <v>18.3</v>
      </c>
      <c r="N41" s="56">
        <f t="shared" si="1"/>
        <v>28.1</v>
      </c>
    </row>
    <row r="42" spans="1:14">
      <c r="A42" s="59" t="s">
        <v>46</v>
      </c>
      <c r="B42" s="56">
        <v>0</v>
      </c>
      <c r="C42" s="56">
        <v>0</v>
      </c>
      <c r="D42" s="56">
        <v>0</v>
      </c>
      <c r="E42" s="57"/>
      <c r="F42" s="56">
        <f t="shared" si="9"/>
        <v>0</v>
      </c>
      <c r="G42" s="56">
        <f t="shared" si="7"/>
        <v>0</v>
      </c>
      <c r="H42" s="56">
        <f t="shared" si="2"/>
        <v>0</v>
      </c>
      <c r="I42" s="56">
        <f t="shared" si="0"/>
        <v>0</v>
      </c>
      <c r="J42" s="57"/>
      <c r="K42" s="56">
        <f t="shared" si="3"/>
        <v>0</v>
      </c>
      <c r="L42" s="56">
        <f t="shared" si="4"/>
        <v>0</v>
      </c>
      <c r="M42" s="56">
        <f t="shared" si="5"/>
        <v>0</v>
      </c>
      <c r="N42" s="56">
        <f t="shared" si="1"/>
        <v>0</v>
      </c>
    </row>
    <row r="43" spans="1:14">
      <c r="A43" s="60" t="s">
        <v>280</v>
      </c>
      <c r="B43" s="56">
        <v>1.6</v>
      </c>
      <c r="C43" s="67">
        <v>0.05</v>
      </c>
      <c r="D43" s="56">
        <v>2.5</v>
      </c>
      <c r="E43" s="57"/>
      <c r="F43" s="56">
        <f t="shared" si="9"/>
        <v>1.8</v>
      </c>
      <c r="G43" s="56">
        <f t="shared" si="7"/>
        <v>0.1</v>
      </c>
      <c r="H43" s="56">
        <f t="shared" si="2"/>
        <v>3.6</v>
      </c>
      <c r="I43" s="56">
        <f t="shared" si="0"/>
        <v>5.5</v>
      </c>
      <c r="J43" s="57"/>
      <c r="K43" s="56">
        <f t="shared" si="3"/>
        <v>9.4</v>
      </c>
      <c r="L43" s="56">
        <f t="shared" si="4"/>
        <v>0.4</v>
      </c>
      <c r="M43" s="56">
        <f t="shared" si="5"/>
        <v>18.3</v>
      </c>
      <c r="N43" s="56">
        <f t="shared" si="1"/>
        <v>28.1</v>
      </c>
    </row>
    <row r="44" spans="1:14">
      <c r="A44" s="55" t="s">
        <v>584</v>
      </c>
      <c r="B44" s="56">
        <v>-10.4</v>
      </c>
      <c r="C44" s="56">
        <v>0</v>
      </c>
      <c r="D44" s="67">
        <v>-0.05</v>
      </c>
      <c r="E44" s="57"/>
      <c r="F44" s="56">
        <f t="shared" si="9"/>
        <v>-12</v>
      </c>
      <c r="G44" s="56">
        <f t="shared" si="7"/>
        <v>0</v>
      </c>
      <c r="H44" s="56">
        <f t="shared" si="2"/>
        <v>-0.1</v>
      </c>
      <c r="I44" s="56">
        <f t="shared" si="0"/>
        <v>-12.1</v>
      </c>
      <c r="J44" s="57"/>
      <c r="K44" s="56">
        <f>ROUNDDOWN(B44*5.89,1)</f>
        <v>-61.2</v>
      </c>
      <c r="L44" s="56">
        <f t="shared" si="4"/>
        <v>0</v>
      </c>
      <c r="M44" s="56">
        <f t="shared" si="5"/>
        <v>-0.4</v>
      </c>
      <c r="N44" s="56">
        <f t="shared" si="1"/>
        <v>-61.6</v>
      </c>
    </row>
    <row r="45" spans="1:14">
      <c r="A45" s="55" t="s">
        <v>585</v>
      </c>
      <c r="B45" s="56">
        <v>580.79999999999995</v>
      </c>
      <c r="C45" s="56">
        <v>65.099999999999994</v>
      </c>
      <c r="D45" s="56">
        <v>107.1</v>
      </c>
      <c r="E45" s="57"/>
      <c r="F45" s="56">
        <f t="shared" si="9"/>
        <v>670.2</v>
      </c>
      <c r="G45" s="56">
        <f t="shared" si="7"/>
        <v>93.1</v>
      </c>
      <c r="H45" s="56">
        <f t="shared" si="2"/>
        <v>153.19999999999999</v>
      </c>
      <c r="I45" s="56">
        <f t="shared" si="0"/>
        <v>916.5</v>
      </c>
      <c r="J45" s="57"/>
      <c r="K45" s="56">
        <f t="shared" si="3"/>
        <v>3420.9</v>
      </c>
      <c r="L45" s="56">
        <f t="shared" si="4"/>
        <v>532.5</v>
      </c>
      <c r="M45" s="56">
        <f t="shared" si="5"/>
        <v>785</v>
      </c>
      <c r="N45" s="56">
        <f t="shared" si="1"/>
        <v>4738.3999999999996</v>
      </c>
    </row>
    <row r="46" spans="1:14">
      <c r="A46" s="55" t="s">
        <v>586</v>
      </c>
      <c r="B46" s="56">
        <v>-0.6</v>
      </c>
      <c r="C46" s="56">
        <v>0</v>
      </c>
      <c r="D46" s="56">
        <v>0</v>
      </c>
      <c r="E46" s="57"/>
      <c r="F46" s="56">
        <f t="shared" si="9"/>
        <v>-0.7</v>
      </c>
      <c r="G46" s="56">
        <f t="shared" si="7"/>
        <v>0</v>
      </c>
      <c r="H46" s="56">
        <f t="shared" si="2"/>
        <v>0</v>
      </c>
      <c r="I46" s="56">
        <f t="shared" si="0"/>
        <v>-0.7</v>
      </c>
      <c r="J46" s="57"/>
      <c r="K46" s="56">
        <f t="shared" si="3"/>
        <v>-3.5</v>
      </c>
      <c r="L46" s="56">
        <f t="shared" si="4"/>
        <v>0</v>
      </c>
      <c r="M46" s="56">
        <f t="shared" si="5"/>
        <v>0</v>
      </c>
      <c r="N46" s="56">
        <f t="shared" si="1"/>
        <v>-3.5</v>
      </c>
    </row>
    <row r="47" spans="1:14">
      <c r="A47" s="55" t="s">
        <v>637</v>
      </c>
      <c r="B47" s="56">
        <v>-81.8</v>
      </c>
      <c r="C47" s="56">
        <v>-57.1</v>
      </c>
      <c r="D47" s="56">
        <v>53.6</v>
      </c>
      <c r="E47" s="57"/>
      <c r="F47" s="56">
        <f t="shared" si="9"/>
        <v>-94.4</v>
      </c>
      <c r="G47" s="56">
        <f t="shared" si="7"/>
        <v>-81.7</v>
      </c>
      <c r="H47" s="56">
        <f t="shared" si="2"/>
        <v>76.599999999999994</v>
      </c>
      <c r="I47" s="56">
        <f t="shared" si="0"/>
        <v>-99.500000000000028</v>
      </c>
      <c r="J47" s="57"/>
      <c r="K47" s="56">
        <f t="shared" si="3"/>
        <v>-481.8</v>
      </c>
      <c r="L47" s="56">
        <f t="shared" si="4"/>
        <v>-467.1</v>
      </c>
      <c r="M47" s="56">
        <f t="shared" si="5"/>
        <v>392.9</v>
      </c>
      <c r="N47" s="56">
        <f t="shared" si="1"/>
        <v>-556.00000000000011</v>
      </c>
    </row>
    <row r="48" spans="1:14" ht="13.8" thickBot="1">
      <c r="A48" s="61" t="s">
        <v>638</v>
      </c>
      <c r="B48" s="62">
        <v>-462</v>
      </c>
      <c r="C48" s="62">
        <v>-7.3</v>
      </c>
      <c r="D48" s="62">
        <v>-31.5</v>
      </c>
      <c r="E48" s="57"/>
      <c r="F48" s="62">
        <f t="shared" si="9"/>
        <v>-533.1</v>
      </c>
      <c r="G48" s="62">
        <f t="shared" si="7"/>
        <v>-10.4</v>
      </c>
      <c r="H48" s="62">
        <f t="shared" si="2"/>
        <v>-45</v>
      </c>
      <c r="I48" s="62">
        <f t="shared" si="0"/>
        <v>-588.5</v>
      </c>
      <c r="J48" s="57"/>
      <c r="K48" s="62">
        <f t="shared" si="3"/>
        <v>-2721.2</v>
      </c>
      <c r="L48" s="62">
        <f t="shared" si="4"/>
        <v>-59.7</v>
      </c>
      <c r="M48" s="62">
        <f t="shared" si="5"/>
        <v>-230.9</v>
      </c>
      <c r="N48" s="62">
        <f t="shared" si="1"/>
        <v>-3011.7999999999997</v>
      </c>
    </row>
    <row r="49" spans="1:14" ht="13.8" thickBot="1">
      <c r="A49" s="68" t="s">
        <v>54</v>
      </c>
      <c r="B49" s="69">
        <v>33578.400000000001</v>
      </c>
      <c r="C49" s="69">
        <v>1325.1</v>
      </c>
      <c r="D49" s="69">
        <v>1785</v>
      </c>
      <c r="E49" s="54"/>
      <c r="F49" s="69">
        <f t="shared" si="9"/>
        <v>38749.5</v>
      </c>
      <c r="G49" s="69">
        <f t="shared" si="7"/>
        <v>1894.9</v>
      </c>
      <c r="H49" s="69">
        <f>ROUND(D49*1.43,1)</f>
        <v>2552.6</v>
      </c>
      <c r="I49" s="69">
        <f t="shared" si="0"/>
        <v>43197</v>
      </c>
      <c r="J49" s="54"/>
      <c r="K49" s="69">
        <f t="shared" si="3"/>
        <v>197776.8</v>
      </c>
      <c r="L49" s="69">
        <f t="shared" si="4"/>
        <v>10839.3</v>
      </c>
      <c r="M49" s="69">
        <f t="shared" si="5"/>
        <v>13084.1</v>
      </c>
      <c r="N49" s="69">
        <f t="shared" si="1"/>
        <v>221700.19999999998</v>
      </c>
    </row>
    <row r="50" spans="1:14" ht="13.8" thickTop="1">
      <c r="A50" s="55" t="s">
        <v>582</v>
      </c>
      <c r="B50" s="56">
        <v>547.70000000000005</v>
      </c>
      <c r="C50" s="56">
        <v>32.299999999999997</v>
      </c>
      <c r="D50" s="56">
        <v>83.2</v>
      </c>
      <c r="E50" s="57"/>
      <c r="F50" s="56">
        <f t="shared" si="9"/>
        <v>632</v>
      </c>
      <c r="G50" s="56">
        <f t="shared" si="7"/>
        <v>46.2</v>
      </c>
      <c r="H50" s="56">
        <f>ROUND(D50*1.43,1)</f>
        <v>119</v>
      </c>
      <c r="I50" s="56">
        <f t="shared" si="0"/>
        <v>797.2</v>
      </c>
      <c r="J50" s="57"/>
      <c r="K50" s="56">
        <f>ROUNDDOWN(B50*5.89,1)</f>
        <v>3225.9</v>
      </c>
      <c r="L50" s="56">
        <f t="shared" si="4"/>
        <v>264.2</v>
      </c>
      <c r="M50" s="56">
        <f t="shared" si="5"/>
        <v>609.9</v>
      </c>
      <c r="N50" s="56">
        <f t="shared" si="1"/>
        <v>4100</v>
      </c>
    </row>
    <row r="51" spans="1:14" ht="36.75" customHeight="1">
      <c r="A51" s="55" t="s">
        <v>302</v>
      </c>
      <c r="B51" s="56">
        <v>-50.9</v>
      </c>
      <c r="C51" s="56">
        <v>-0.4</v>
      </c>
      <c r="D51" s="56">
        <v>1.5</v>
      </c>
      <c r="E51" s="57"/>
      <c r="F51" s="56">
        <f t="shared" si="9"/>
        <v>-58.7</v>
      </c>
      <c r="G51" s="56">
        <f t="shared" si="7"/>
        <v>-0.6</v>
      </c>
      <c r="H51" s="56">
        <f t="shared" ref="H51:H59" si="10">ROUND(D51*1.43,1)</f>
        <v>2.1</v>
      </c>
      <c r="I51" s="56">
        <f t="shared" si="0"/>
        <v>-57.2</v>
      </c>
      <c r="J51" s="57"/>
      <c r="K51" s="56">
        <f t="shared" si="3"/>
        <v>-299.8</v>
      </c>
      <c r="L51" s="56">
        <f t="shared" si="4"/>
        <v>-3.3</v>
      </c>
      <c r="M51" s="56">
        <f t="shared" si="5"/>
        <v>11</v>
      </c>
      <c r="N51" s="56">
        <f t="shared" si="1"/>
        <v>-292.10000000000002</v>
      </c>
    </row>
    <row r="52" spans="1:14">
      <c r="A52" s="55" t="s">
        <v>583</v>
      </c>
      <c r="B52" s="56">
        <v>120</v>
      </c>
      <c r="C52" s="56">
        <v>4.4000000000000004</v>
      </c>
      <c r="D52" s="56">
        <v>0.6</v>
      </c>
      <c r="E52" s="56"/>
      <c r="F52" s="56">
        <f t="shared" si="9"/>
        <v>138.5</v>
      </c>
      <c r="G52" s="56">
        <f t="shared" si="7"/>
        <v>6.3</v>
      </c>
      <c r="H52" s="56">
        <f>ROUNDDOWN(D52*1.43,1)</f>
        <v>0.8</v>
      </c>
      <c r="I52" s="56">
        <f t="shared" si="0"/>
        <v>145.60000000000002</v>
      </c>
      <c r="J52" s="57"/>
      <c r="K52" s="56">
        <f t="shared" si="3"/>
        <v>706.8</v>
      </c>
      <c r="L52" s="56">
        <f t="shared" si="4"/>
        <v>36</v>
      </c>
      <c r="M52" s="56">
        <f t="shared" si="5"/>
        <v>4.4000000000000004</v>
      </c>
      <c r="N52" s="56">
        <f t="shared" si="1"/>
        <v>747.19999999999993</v>
      </c>
    </row>
    <row r="53" spans="1:14">
      <c r="A53" s="59" t="s">
        <v>46</v>
      </c>
      <c r="B53" s="56">
        <v>65.900000000000006</v>
      </c>
      <c r="C53" s="56">
        <v>3.7</v>
      </c>
      <c r="D53" s="56">
        <v>0.6</v>
      </c>
      <c r="E53" s="57"/>
      <c r="F53" s="56">
        <f>ROUNDUP(B53*1.154,1)</f>
        <v>76.099999999999994</v>
      </c>
      <c r="G53" s="56">
        <f t="shared" si="7"/>
        <v>5.3</v>
      </c>
      <c r="H53" s="56">
        <f>ROUNDDOWN(D53*1.43,1)</f>
        <v>0.8</v>
      </c>
      <c r="I53" s="56">
        <f t="shared" si="0"/>
        <v>82.199999999999989</v>
      </c>
      <c r="J53" s="57"/>
      <c r="K53" s="56">
        <f t="shared" si="3"/>
        <v>388.2</v>
      </c>
      <c r="L53" s="56">
        <f t="shared" si="4"/>
        <v>30.3</v>
      </c>
      <c r="M53" s="56">
        <f t="shared" si="5"/>
        <v>4.4000000000000004</v>
      </c>
      <c r="N53" s="56">
        <f t="shared" si="1"/>
        <v>422.9</v>
      </c>
    </row>
    <row r="54" spans="1:14" ht="21">
      <c r="A54" s="70" t="s">
        <v>411</v>
      </c>
      <c r="B54" s="56">
        <v>54.1</v>
      </c>
      <c r="C54" s="56">
        <v>0.7</v>
      </c>
      <c r="D54" s="56">
        <v>0</v>
      </c>
      <c r="E54" s="57"/>
      <c r="F54" s="56">
        <f t="shared" si="9"/>
        <v>62.4</v>
      </c>
      <c r="G54" s="56">
        <f t="shared" si="7"/>
        <v>1</v>
      </c>
      <c r="H54" s="56">
        <f t="shared" si="10"/>
        <v>0</v>
      </c>
      <c r="I54" s="56">
        <f t="shared" si="0"/>
        <v>63.4</v>
      </c>
      <c r="J54" s="57"/>
      <c r="K54" s="56">
        <f t="shared" si="3"/>
        <v>318.60000000000002</v>
      </c>
      <c r="L54" s="56">
        <f t="shared" si="4"/>
        <v>5.7</v>
      </c>
      <c r="M54" s="56">
        <f t="shared" si="5"/>
        <v>0</v>
      </c>
      <c r="N54" s="56">
        <f t="shared" si="1"/>
        <v>324.3</v>
      </c>
    </row>
    <row r="55" spans="1:14">
      <c r="A55" s="55" t="s">
        <v>584</v>
      </c>
      <c r="B55" s="56">
        <v>-1.5</v>
      </c>
      <c r="C55" s="56">
        <v>0</v>
      </c>
      <c r="D55" s="67">
        <v>0</v>
      </c>
      <c r="E55" s="57"/>
      <c r="F55" s="56">
        <f t="shared" ref="F55:F60" si="11">ROUND(B55*1.154,1)</f>
        <v>-1.7</v>
      </c>
      <c r="G55" s="56">
        <f t="shared" si="7"/>
        <v>0</v>
      </c>
      <c r="H55" s="56">
        <f t="shared" si="10"/>
        <v>0</v>
      </c>
      <c r="I55" s="56">
        <f t="shared" si="0"/>
        <v>-1.7</v>
      </c>
      <c r="J55" s="57"/>
      <c r="K55" s="56">
        <f t="shared" si="3"/>
        <v>-8.8000000000000007</v>
      </c>
      <c r="L55" s="56">
        <f t="shared" si="4"/>
        <v>0</v>
      </c>
      <c r="M55" s="56">
        <f t="shared" si="5"/>
        <v>0</v>
      </c>
      <c r="N55" s="56">
        <f t="shared" si="1"/>
        <v>-8.8000000000000007</v>
      </c>
    </row>
    <row r="56" spans="1:14">
      <c r="A56" s="55" t="s">
        <v>585</v>
      </c>
      <c r="B56" s="56">
        <v>1.7</v>
      </c>
      <c r="C56" s="56">
        <v>0.3</v>
      </c>
      <c r="D56" s="56">
        <v>4.5999999999999996</v>
      </c>
      <c r="E56" s="57"/>
      <c r="F56" s="56">
        <f t="shared" si="11"/>
        <v>2</v>
      </c>
      <c r="G56" s="56">
        <f t="shared" si="7"/>
        <v>0.4</v>
      </c>
      <c r="H56" s="56">
        <f t="shared" si="10"/>
        <v>6.6</v>
      </c>
      <c r="I56" s="56">
        <f t="shared" si="0"/>
        <v>9</v>
      </c>
      <c r="J56" s="57"/>
      <c r="K56" s="56">
        <f t="shared" si="3"/>
        <v>10</v>
      </c>
      <c r="L56" s="56">
        <f t="shared" si="4"/>
        <v>2.5</v>
      </c>
      <c r="M56" s="56">
        <f t="shared" si="5"/>
        <v>33.700000000000003</v>
      </c>
      <c r="N56" s="56">
        <f t="shared" si="1"/>
        <v>46.2</v>
      </c>
    </row>
    <row r="57" spans="1:14">
      <c r="A57" s="55" t="s">
        <v>586</v>
      </c>
      <c r="B57" s="56">
        <v>-627.20000000000005</v>
      </c>
      <c r="C57" s="56">
        <v>-68.599999999999994</v>
      </c>
      <c r="D57" s="56">
        <v>-101.1</v>
      </c>
      <c r="E57" s="57"/>
      <c r="F57" s="56">
        <f t="shared" si="11"/>
        <v>-723.8</v>
      </c>
      <c r="G57" s="56">
        <f t="shared" si="7"/>
        <v>-98.1</v>
      </c>
      <c r="H57" s="56">
        <f t="shared" si="10"/>
        <v>-144.6</v>
      </c>
      <c r="I57" s="56">
        <f t="shared" si="0"/>
        <v>-966.5</v>
      </c>
      <c r="J57" s="57"/>
      <c r="K57" s="56">
        <f t="shared" si="3"/>
        <v>-3694.2</v>
      </c>
      <c r="L57" s="56">
        <f t="shared" si="4"/>
        <v>-561.1</v>
      </c>
      <c r="M57" s="56">
        <f t="shared" si="5"/>
        <v>-741.1</v>
      </c>
      <c r="N57" s="56">
        <f t="shared" si="1"/>
        <v>-4996.4000000000005</v>
      </c>
    </row>
    <row r="58" spans="1:14">
      <c r="A58" s="55" t="s">
        <v>637</v>
      </c>
      <c r="B58" s="56">
        <v>-7.6</v>
      </c>
      <c r="C58" s="56">
        <v>-0.2</v>
      </c>
      <c r="D58" s="56">
        <v>-8.9</v>
      </c>
      <c r="E58" s="57"/>
      <c r="F58" s="56">
        <f t="shared" si="11"/>
        <v>-8.8000000000000007</v>
      </c>
      <c r="G58" s="56">
        <f t="shared" si="7"/>
        <v>-0.3</v>
      </c>
      <c r="H58" s="56">
        <f t="shared" si="10"/>
        <v>-12.7</v>
      </c>
      <c r="I58" s="56">
        <f t="shared" si="0"/>
        <v>-21.8</v>
      </c>
      <c r="J58" s="57"/>
      <c r="K58" s="56">
        <f t="shared" si="3"/>
        <v>-44.8</v>
      </c>
      <c r="L58" s="56">
        <f t="shared" si="4"/>
        <v>-1.6</v>
      </c>
      <c r="M58" s="56">
        <f t="shared" si="5"/>
        <v>-65.2</v>
      </c>
      <c r="N58" s="56">
        <f t="shared" si="1"/>
        <v>-111.6</v>
      </c>
    </row>
    <row r="59" spans="1:14" ht="13.8" thickBot="1">
      <c r="A59" s="61" t="s">
        <v>638</v>
      </c>
      <c r="B59" s="62">
        <v>-508.3</v>
      </c>
      <c r="C59" s="62">
        <v>-8.1</v>
      </c>
      <c r="D59" s="62">
        <v>-32</v>
      </c>
      <c r="E59" s="57"/>
      <c r="F59" s="62">
        <f t="shared" si="11"/>
        <v>-586.6</v>
      </c>
      <c r="G59" s="62">
        <f>ROUNDDOWN(C59*1.43,1)</f>
        <v>-11.5</v>
      </c>
      <c r="H59" s="62">
        <f t="shared" si="10"/>
        <v>-45.8</v>
      </c>
      <c r="I59" s="62">
        <f t="shared" si="0"/>
        <v>-643.9</v>
      </c>
      <c r="J59" s="57"/>
      <c r="K59" s="62">
        <f t="shared" si="3"/>
        <v>-2993.9</v>
      </c>
      <c r="L59" s="62">
        <f t="shared" si="4"/>
        <v>-66.3</v>
      </c>
      <c r="M59" s="62">
        <f t="shared" si="5"/>
        <v>-234.6</v>
      </c>
      <c r="N59" s="62">
        <f t="shared" si="1"/>
        <v>-3294.8</v>
      </c>
    </row>
    <row r="60" spans="1:14" ht="13.8" thickBot="1">
      <c r="A60" s="68" t="s">
        <v>301</v>
      </c>
      <c r="B60" s="69">
        <v>33052.300000000003</v>
      </c>
      <c r="C60" s="69">
        <v>1284.8</v>
      </c>
      <c r="D60" s="69">
        <v>1732.9</v>
      </c>
      <c r="E60" s="54"/>
      <c r="F60" s="69">
        <f t="shared" si="11"/>
        <v>38142.400000000001</v>
      </c>
      <c r="G60" s="69">
        <f t="shared" si="7"/>
        <v>1837.3</v>
      </c>
      <c r="H60" s="69">
        <f>ROUND(D60*1.43,1)</f>
        <v>2478</v>
      </c>
      <c r="I60" s="69">
        <f>F60+G60+H60</f>
        <v>42457.700000000004</v>
      </c>
      <c r="J60" s="54"/>
      <c r="K60" s="69">
        <f t="shared" si="3"/>
        <v>194678</v>
      </c>
      <c r="L60" s="69">
        <f t="shared" si="4"/>
        <v>10509.7</v>
      </c>
      <c r="M60" s="69">
        <f t="shared" si="5"/>
        <v>12702.2</v>
      </c>
      <c r="N60" s="69">
        <f>K60+L60+M60</f>
        <v>217889.90000000002</v>
      </c>
    </row>
    <row r="61" spans="1:14" ht="13.8" thickTop="1">
      <c r="A61" s="71"/>
      <c r="B61" s="54"/>
      <c r="C61" s="54"/>
      <c r="D61" s="54"/>
      <c r="E61" s="54"/>
      <c r="F61" s="54"/>
      <c r="G61" s="54"/>
      <c r="H61" s="54"/>
      <c r="I61" s="54"/>
      <c r="J61" s="54"/>
      <c r="K61" s="54"/>
      <c r="L61" s="54"/>
      <c r="M61" s="54"/>
      <c r="N61" s="54"/>
    </row>
    <row r="62" spans="1:14" ht="25.5" customHeight="1">
      <c r="A62" s="490" t="s">
        <v>1068</v>
      </c>
      <c r="B62" s="490"/>
      <c r="C62" s="490"/>
      <c r="D62" s="490"/>
      <c r="E62" s="490"/>
      <c r="F62" s="490"/>
      <c r="G62" s="490"/>
      <c r="H62" s="490"/>
      <c r="I62" s="490"/>
      <c r="J62" s="490"/>
      <c r="K62" s="490"/>
      <c r="L62" s="490"/>
      <c r="M62" s="490"/>
      <c r="N62" s="490"/>
    </row>
    <row r="63" spans="1:14" ht="23.4" customHeight="1">
      <c r="A63" s="513" t="s">
        <v>565</v>
      </c>
      <c r="B63" s="513"/>
      <c r="C63" s="513"/>
      <c r="D63" s="513"/>
      <c r="E63" s="513"/>
      <c r="F63" s="513"/>
      <c r="G63" s="513"/>
      <c r="H63" s="513"/>
      <c r="I63" s="513"/>
      <c r="J63" s="513"/>
      <c r="K63" s="513"/>
      <c r="L63" s="513"/>
      <c r="M63" s="513"/>
      <c r="N63" s="513"/>
    </row>
    <row r="64" spans="1:14">
      <c r="A64" s="490" t="s">
        <v>1067</v>
      </c>
      <c r="B64" s="490"/>
      <c r="C64" s="490"/>
      <c r="D64" s="490"/>
      <c r="E64" s="490"/>
      <c r="F64" s="490"/>
      <c r="G64" s="490"/>
      <c r="H64" s="490"/>
      <c r="I64" s="490"/>
      <c r="J64" s="490"/>
      <c r="K64" s="490"/>
      <c r="L64" s="490"/>
      <c r="M64" s="490"/>
      <c r="N64" s="490"/>
    </row>
    <row r="65" spans="1:14">
      <c r="A65" s="29"/>
      <c r="B65" s="29"/>
      <c r="C65" s="29"/>
      <c r="D65" s="29"/>
      <c r="E65" s="29"/>
      <c r="F65" s="29"/>
      <c r="G65" s="29"/>
      <c r="H65" s="29"/>
      <c r="I65" s="29"/>
      <c r="J65" s="29"/>
      <c r="K65" s="29"/>
      <c r="L65" s="29"/>
      <c r="M65" s="29"/>
      <c r="N65" s="29"/>
    </row>
    <row r="66" spans="1:14">
      <c r="A66" s="487" t="s">
        <v>776</v>
      </c>
      <c r="B66" s="487"/>
      <c r="C66" s="487"/>
      <c r="D66" s="487"/>
      <c r="E66" s="487"/>
      <c r="F66" s="487"/>
      <c r="G66" s="487"/>
    </row>
    <row r="67" spans="1:14"/>
  </sheetData>
  <sheetProtection password="CAF1" sheet="1" objects="1" scenarios="1" formatCells="0" formatColumns="0" formatRows="0" insertColumns="0" insertRows="0" insertHyperlinks="0" deleteColumns="0" deleteRows="0" sort="0" autoFilter="0" pivotTables="0"/>
  <mergeCells count="6">
    <mergeCell ref="A66:G66"/>
    <mergeCell ref="A64:N64"/>
    <mergeCell ref="F3:I3"/>
    <mergeCell ref="K3:N3"/>
    <mergeCell ref="A62:N62"/>
    <mergeCell ref="A63:N63"/>
  </mergeCells>
  <phoneticPr fontId="8" type="noConversion"/>
  <hyperlinks>
    <hyperlink ref="A66:G66" location="Титул!A1" display="Вернуться к Содержанию"/>
  </hyperlinks>
  <pageMargins left="0.25" right="0.25" top="0.75" bottom="0.75" header="0.3" footer="0.3"/>
  <pageSetup paperSize="9" firstPageNumber="12" orientation="landscape" useFirstPageNumber="1" r:id="rId1"/>
  <headerFooter alignWithMargins="0">
    <oddHeader>&amp;L&amp;"Times New Roman,полужирный"Газпром в цифрах 2006-2010 гг.&amp;R&amp;"Times New Roman,полужирный"Справочник</oddHeader>
    <oddFooter>&amp;C&amp;P</oddFooter>
  </headerFooter>
  <rowBreaks count="1" manualBreakCount="1">
    <brk id="37" max="13" man="1"/>
  </rowBreaks>
</worksheet>
</file>

<file path=xl/worksheets/sheet11.xml><?xml version="1.0" encoding="utf-8"?>
<worksheet xmlns="http://schemas.openxmlformats.org/spreadsheetml/2006/main" xmlns:r="http://schemas.openxmlformats.org/officeDocument/2006/relationships">
  <sheetPr codeName="Лист11"/>
  <dimension ref="A1:AL143"/>
  <sheetViews>
    <sheetView zoomScaleNormal="100" zoomScaleSheetLayoutView="100" workbookViewId="0"/>
  </sheetViews>
  <sheetFormatPr defaultColWidth="0" defaultRowHeight="13.2" zeroHeight="1"/>
  <cols>
    <col min="1" max="1" width="36.44140625" customWidth="1"/>
    <col min="2" max="3" width="8" customWidth="1"/>
    <col min="4" max="4" width="9" customWidth="1"/>
    <col min="5" max="8" width="8" customWidth="1"/>
    <col min="9" max="9" width="7.44140625" customWidth="1"/>
    <col min="10" max="38" width="9.33203125" style="2" hidden="1" customWidth="1"/>
  </cols>
  <sheetData>
    <row r="1" spans="1:38" ht="15.6">
      <c r="A1" s="51" t="s">
        <v>802</v>
      </c>
      <c r="B1" s="28"/>
      <c r="C1" s="28"/>
      <c r="D1" s="28"/>
      <c r="E1" s="28"/>
      <c r="F1" s="28"/>
      <c r="G1" s="28"/>
      <c r="H1" s="28"/>
      <c r="I1" s="28"/>
    </row>
    <row r="2" spans="1:38" ht="25.5" customHeight="1">
      <c r="A2" s="514" t="s">
        <v>887</v>
      </c>
      <c r="B2" s="514"/>
      <c r="C2" s="514"/>
      <c r="D2" s="514"/>
      <c r="E2" s="514"/>
      <c r="F2" s="514"/>
      <c r="G2" s="514"/>
      <c r="H2" s="514"/>
      <c r="I2" s="514"/>
    </row>
    <row r="3" spans="1:38" ht="66" customHeight="1">
      <c r="A3" s="24" t="s">
        <v>527</v>
      </c>
      <c r="B3" s="419" t="s">
        <v>30</v>
      </c>
      <c r="C3" s="419" t="s">
        <v>31</v>
      </c>
      <c r="D3" s="419" t="s">
        <v>1134</v>
      </c>
      <c r="E3" s="419" t="s">
        <v>33</v>
      </c>
      <c r="F3" s="419" t="s">
        <v>34</v>
      </c>
      <c r="G3" s="419" t="s">
        <v>35</v>
      </c>
      <c r="H3" s="419" t="s">
        <v>655</v>
      </c>
      <c r="I3" s="419" t="s">
        <v>580</v>
      </c>
      <c r="AL3"/>
    </row>
    <row r="4" spans="1:38" ht="19.5" customHeight="1">
      <c r="A4" s="34"/>
      <c r="B4" s="488" t="s">
        <v>281</v>
      </c>
      <c r="C4" s="488"/>
      <c r="D4" s="488"/>
      <c r="E4" s="488"/>
      <c r="F4" s="488"/>
      <c r="G4" s="488"/>
      <c r="H4" s="488"/>
      <c r="I4" s="488"/>
      <c r="AL4"/>
    </row>
    <row r="5" spans="1:38">
      <c r="A5" s="36" t="s">
        <v>1131</v>
      </c>
      <c r="B5" s="315">
        <v>27</v>
      </c>
      <c r="C5" s="315">
        <v>0.3</v>
      </c>
      <c r="D5" s="315">
        <v>3.3</v>
      </c>
      <c r="E5" s="315">
        <v>0.6</v>
      </c>
      <c r="F5" s="315">
        <v>57.8</v>
      </c>
      <c r="G5" s="315">
        <v>0</v>
      </c>
      <c r="H5" s="315">
        <v>50.9</v>
      </c>
      <c r="I5" s="315">
        <f>SUM(B5:H5)</f>
        <v>139.9</v>
      </c>
      <c r="AL5"/>
    </row>
    <row r="6" spans="1:38" ht="12.75" customHeight="1">
      <c r="A6" s="36" t="s">
        <v>1132</v>
      </c>
      <c r="B6" s="315">
        <v>68.599999999999994</v>
      </c>
      <c r="C6" s="315">
        <v>0.7</v>
      </c>
      <c r="D6" s="315">
        <v>8.5</v>
      </c>
      <c r="E6" s="315">
        <v>2.7</v>
      </c>
      <c r="F6" s="315">
        <v>6.7</v>
      </c>
      <c r="G6" s="315">
        <v>8.5</v>
      </c>
      <c r="H6" s="315">
        <v>10.4</v>
      </c>
      <c r="I6" s="315">
        <f>SUM(B6:H6)</f>
        <v>106.10000000000001</v>
      </c>
      <c r="AL6"/>
    </row>
    <row r="7" spans="1:38" ht="25.5" customHeight="1" thickBot="1">
      <c r="A7" s="105" t="s">
        <v>1133</v>
      </c>
      <c r="B7" s="318">
        <v>25.5</v>
      </c>
      <c r="C7" s="318">
        <v>4.0999999999999996</v>
      </c>
      <c r="D7" s="318">
        <v>1.4</v>
      </c>
      <c r="E7" s="318">
        <v>5.2</v>
      </c>
      <c r="F7" s="318">
        <v>17.5</v>
      </c>
      <c r="G7" s="318">
        <v>0</v>
      </c>
      <c r="H7" s="318">
        <v>0</v>
      </c>
      <c r="I7" s="315">
        <f>SUM(B7:H7)</f>
        <v>53.7</v>
      </c>
      <c r="AL7"/>
    </row>
    <row r="8" spans="1:38" ht="13.8" thickTop="1">
      <c r="A8" s="521" t="s">
        <v>523</v>
      </c>
      <c r="B8" s="521"/>
      <c r="C8" s="521"/>
      <c r="D8" s="521"/>
      <c r="E8" s="521"/>
      <c r="F8" s="521"/>
      <c r="G8" s="521"/>
      <c r="H8" s="521"/>
      <c r="I8" s="521"/>
    </row>
    <row r="9" spans="1:38" ht="36.75" customHeight="1">
      <c r="A9" s="493" t="s">
        <v>303</v>
      </c>
      <c r="B9" s="493"/>
      <c r="C9" s="493"/>
      <c r="D9" s="493"/>
      <c r="E9" s="493"/>
      <c r="F9" s="493"/>
      <c r="G9" s="493"/>
      <c r="H9" s="493"/>
      <c r="I9" s="493"/>
    </row>
    <row r="10" spans="1:38" ht="73.5" customHeight="1">
      <c r="A10" s="418" t="s">
        <v>901</v>
      </c>
      <c r="B10" s="420" t="s">
        <v>1135</v>
      </c>
      <c r="C10" s="522" t="s">
        <v>1136</v>
      </c>
      <c r="D10" s="522"/>
      <c r="E10" s="522"/>
      <c r="F10" s="420" t="s">
        <v>1137</v>
      </c>
      <c r="G10" s="420" t="s">
        <v>525</v>
      </c>
      <c r="H10" s="420" t="s">
        <v>524</v>
      </c>
      <c r="I10" s="420" t="s">
        <v>526</v>
      </c>
    </row>
    <row r="11" spans="1:38">
      <c r="A11" s="527" t="s">
        <v>1138</v>
      </c>
      <c r="B11" s="527"/>
      <c r="C11" s="527"/>
      <c r="D11" s="527"/>
      <c r="E11" s="527"/>
      <c r="F11" s="527"/>
      <c r="G11" s="527"/>
      <c r="H11" s="527"/>
      <c r="I11" s="527"/>
    </row>
    <row r="12" spans="1:38" ht="12.75" customHeight="1">
      <c r="A12" s="421" t="s">
        <v>1139</v>
      </c>
      <c r="B12" s="148">
        <v>1978</v>
      </c>
      <c r="C12" s="517" t="s">
        <v>1140</v>
      </c>
      <c r="D12" s="517"/>
      <c r="E12" s="517"/>
      <c r="F12" s="523">
        <v>1</v>
      </c>
      <c r="G12" s="148" t="s">
        <v>1141</v>
      </c>
      <c r="H12" s="148" t="s">
        <v>1142</v>
      </c>
      <c r="I12" s="148" t="s">
        <v>663</v>
      </c>
    </row>
    <row r="13" spans="1:38">
      <c r="A13" s="224" t="s">
        <v>1145</v>
      </c>
      <c r="B13" s="241">
        <v>1985</v>
      </c>
      <c r="C13" s="520"/>
      <c r="D13" s="520"/>
      <c r="E13" s="520"/>
      <c r="F13" s="524"/>
      <c r="G13" s="241" t="s">
        <v>1141</v>
      </c>
      <c r="H13" s="241" t="s">
        <v>1142</v>
      </c>
      <c r="I13" s="241" t="s">
        <v>663</v>
      </c>
    </row>
    <row r="14" spans="1:38">
      <c r="A14" s="224" t="s">
        <v>1143</v>
      </c>
      <c r="B14" s="241">
        <v>1987</v>
      </c>
      <c r="C14" s="520"/>
      <c r="D14" s="520"/>
      <c r="E14" s="520"/>
      <c r="F14" s="524"/>
      <c r="G14" s="241" t="s">
        <v>1144</v>
      </c>
      <c r="H14" s="241" t="s">
        <v>1142</v>
      </c>
      <c r="I14" s="241">
        <v>2013</v>
      </c>
    </row>
    <row r="15" spans="1:38">
      <c r="A15" s="224" t="s">
        <v>1146</v>
      </c>
      <c r="B15" s="241">
        <v>2004</v>
      </c>
      <c r="C15" s="520"/>
      <c r="D15" s="520"/>
      <c r="E15" s="520"/>
      <c r="F15" s="524"/>
      <c r="G15" s="241" t="s">
        <v>1141</v>
      </c>
      <c r="H15" s="241" t="s">
        <v>1142</v>
      </c>
      <c r="I15" s="241">
        <v>2019</v>
      </c>
    </row>
    <row r="16" spans="1:38">
      <c r="A16" s="421" t="s">
        <v>1147</v>
      </c>
      <c r="B16" s="148">
        <v>1991</v>
      </c>
      <c r="C16" s="517" t="s">
        <v>1148</v>
      </c>
      <c r="D16" s="525"/>
      <c r="E16" s="525"/>
      <c r="F16" s="523">
        <v>1</v>
      </c>
      <c r="G16" s="148" t="s">
        <v>1141</v>
      </c>
      <c r="H16" s="148" t="s">
        <v>1142</v>
      </c>
      <c r="I16" s="148">
        <v>2018</v>
      </c>
    </row>
    <row r="17" spans="1:9">
      <c r="A17" s="224" t="s">
        <v>1149</v>
      </c>
      <c r="B17" s="241">
        <v>2001</v>
      </c>
      <c r="C17" s="526"/>
      <c r="D17" s="526"/>
      <c r="E17" s="526"/>
      <c r="F17" s="524"/>
      <c r="G17" s="241" t="s">
        <v>1141</v>
      </c>
      <c r="H17" s="241" t="s">
        <v>1142</v>
      </c>
      <c r="I17" s="241">
        <v>2018</v>
      </c>
    </row>
    <row r="18" spans="1:9">
      <c r="A18" s="224" t="s">
        <v>163</v>
      </c>
      <c r="B18" s="241" t="s">
        <v>577</v>
      </c>
      <c r="C18" s="526"/>
      <c r="D18" s="526"/>
      <c r="E18" s="526"/>
      <c r="F18" s="524"/>
      <c r="G18" s="241" t="s">
        <v>1141</v>
      </c>
      <c r="H18" s="241" t="s">
        <v>164</v>
      </c>
      <c r="I18" s="241">
        <v>2025</v>
      </c>
    </row>
    <row r="19" spans="1:9">
      <c r="A19" s="224" t="s">
        <v>165</v>
      </c>
      <c r="B19" s="241" t="s">
        <v>577</v>
      </c>
      <c r="C19" s="526"/>
      <c r="D19" s="526"/>
      <c r="E19" s="526"/>
      <c r="F19" s="524"/>
      <c r="G19" s="241" t="s">
        <v>1144</v>
      </c>
      <c r="H19" s="241" t="s">
        <v>1142</v>
      </c>
      <c r="I19" s="241">
        <v>2027</v>
      </c>
    </row>
    <row r="20" spans="1:9">
      <c r="A20" s="421" t="s">
        <v>166</v>
      </c>
      <c r="B20" s="148">
        <v>1972</v>
      </c>
      <c r="C20" s="517" t="s">
        <v>167</v>
      </c>
      <c r="D20" s="517"/>
      <c r="E20" s="517"/>
      <c r="F20" s="523">
        <v>1</v>
      </c>
      <c r="G20" s="148" t="s">
        <v>1141</v>
      </c>
      <c r="H20" s="148" t="s">
        <v>1142</v>
      </c>
      <c r="I20" s="148">
        <v>2018</v>
      </c>
    </row>
    <row r="21" spans="1:9">
      <c r="A21" s="224" t="s">
        <v>168</v>
      </c>
      <c r="B21" s="241">
        <v>1997</v>
      </c>
      <c r="C21" s="520"/>
      <c r="D21" s="520"/>
      <c r="E21" s="520"/>
      <c r="F21" s="524"/>
      <c r="G21" s="241" t="s">
        <v>169</v>
      </c>
      <c r="H21" s="241" t="s">
        <v>1142</v>
      </c>
      <c r="I21" s="241">
        <v>2018</v>
      </c>
    </row>
    <row r="22" spans="1:9">
      <c r="A22" s="224" t="s">
        <v>170</v>
      </c>
      <c r="B22" s="241">
        <v>1992</v>
      </c>
      <c r="C22" s="520"/>
      <c r="D22" s="520"/>
      <c r="E22" s="520"/>
      <c r="F22" s="524"/>
      <c r="G22" s="241" t="s">
        <v>1141</v>
      </c>
      <c r="H22" s="241" t="s">
        <v>1142</v>
      </c>
      <c r="I22" s="241">
        <v>2018</v>
      </c>
    </row>
    <row r="23" spans="1:9">
      <c r="A23" s="422" t="s">
        <v>282</v>
      </c>
      <c r="B23" s="241" t="s">
        <v>577</v>
      </c>
      <c r="C23" s="520"/>
      <c r="D23" s="520"/>
      <c r="E23" s="520"/>
      <c r="F23" s="524"/>
      <c r="G23" s="241" t="s">
        <v>169</v>
      </c>
      <c r="H23" s="241" t="s">
        <v>1142</v>
      </c>
      <c r="I23" s="241">
        <v>2019</v>
      </c>
    </row>
    <row r="24" spans="1:9" ht="12.75" customHeight="1">
      <c r="A24" s="224" t="s">
        <v>171</v>
      </c>
      <c r="B24" s="241" t="s">
        <v>577</v>
      </c>
      <c r="C24" s="520"/>
      <c r="D24" s="520"/>
      <c r="E24" s="520"/>
      <c r="F24" s="524"/>
      <c r="G24" s="241" t="s">
        <v>1141</v>
      </c>
      <c r="H24" s="241" t="s">
        <v>1142</v>
      </c>
      <c r="I24" s="241">
        <v>2018</v>
      </c>
    </row>
    <row r="25" spans="1:9">
      <c r="A25" s="224" t="s">
        <v>172</v>
      </c>
      <c r="B25" s="241" t="s">
        <v>577</v>
      </c>
      <c r="C25" s="520"/>
      <c r="D25" s="520"/>
      <c r="E25" s="520"/>
      <c r="F25" s="524"/>
      <c r="G25" s="241" t="s">
        <v>1141</v>
      </c>
      <c r="H25" s="241" t="s">
        <v>1142</v>
      </c>
      <c r="I25" s="241">
        <v>2019</v>
      </c>
    </row>
    <row r="26" spans="1:9">
      <c r="A26" s="421" t="s">
        <v>173</v>
      </c>
      <c r="B26" s="148">
        <v>1993</v>
      </c>
      <c r="C26" s="517" t="s">
        <v>174</v>
      </c>
      <c r="D26" s="517"/>
      <c r="E26" s="517"/>
      <c r="F26" s="523">
        <v>1</v>
      </c>
      <c r="G26" s="148" t="s">
        <v>1144</v>
      </c>
      <c r="H26" s="148" t="s">
        <v>1142</v>
      </c>
      <c r="I26" s="148">
        <v>2012</v>
      </c>
    </row>
    <row r="27" spans="1:9">
      <c r="A27" s="224" t="s">
        <v>175</v>
      </c>
      <c r="B27" s="241">
        <v>2004</v>
      </c>
      <c r="C27" s="520"/>
      <c r="D27" s="520"/>
      <c r="E27" s="520"/>
      <c r="F27" s="524"/>
      <c r="G27" s="241" t="s">
        <v>1144</v>
      </c>
      <c r="H27" s="241" t="s">
        <v>1142</v>
      </c>
      <c r="I27" s="241">
        <v>2014</v>
      </c>
    </row>
    <row r="28" spans="1:9">
      <c r="A28" s="224" t="s">
        <v>176</v>
      </c>
      <c r="B28" s="241">
        <v>1996</v>
      </c>
      <c r="C28" s="520"/>
      <c r="D28" s="520"/>
      <c r="E28" s="520"/>
      <c r="F28" s="524"/>
      <c r="G28" s="241" t="s">
        <v>1141</v>
      </c>
      <c r="H28" s="241" t="s">
        <v>164</v>
      </c>
      <c r="I28" s="241">
        <v>2018</v>
      </c>
    </row>
    <row r="29" spans="1:9" ht="20.399999999999999">
      <c r="A29" s="421" t="s">
        <v>177</v>
      </c>
      <c r="B29" s="148">
        <v>2007</v>
      </c>
      <c r="C29" s="517" t="s">
        <v>63</v>
      </c>
      <c r="D29" s="517"/>
      <c r="E29" s="517"/>
      <c r="F29" s="148" t="s">
        <v>178</v>
      </c>
      <c r="G29" s="148" t="s">
        <v>1141</v>
      </c>
      <c r="H29" s="148" t="s">
        <v>1142</v>
      </c>
      <c r="I29" s="148">
        <v>2043</v>
      </c>
    </row>
    <row r="30" spans="1:9">
      <c r="A30" s="421" t="s">
        <v>179</v>
      </c>
      <c r="B30" s="148" t="s">
        <v>577</v>
      </c>
      <c r="C30" s="517" t="s">
        <v>180</v>
      </c>
      <c r="D30" s="517"/>
      <c r="E30" s="517"/>
      <c r="F30" s="148"/>
      <c r="G30" s="148" t="s">
        <v>1141</v>
      </c>
      <c r="H30" s="148" t="s">
        <v>1142</v>
      </c>
      <c r="I30" s="148">
        <v>2028</v>
      </c>
    </row>
    <row r="31" spans="1:9">
      <c r="A31" s="224" t="s">
        <v>181</v>
      </c>
      <c r="B31" s="241" t="s">
        <v>577</v>
      </c>
      <c r="C31" s="520"/>
      <c r="D31" s="520"/>
      <c r="E31" s="520"/>
      <c r="F31" s="241"/>
      <c r="G31" s="241" t="s">
        <v>169</v>
      </c>
      <c r="H31" s="241" t="s">
        <v>1142</v>
      </c>
      <c r="I31" s="241">
        <v>2028</v>
      </c>
    </row>
    <row r="32" spans="1:9">
      <c r="A32" s="224" t="s">
        <v>182</v>
      </c>
      <c r="B32" s="241" t="s">
        <v>577</v>
      </c>
      <c r="C32" s="520"/>
      <c r="D32" s="520"/>
      <c r="E32" s="520"/>
      <c r="F32" s="241"/>
      <c r="G32" s="241" t="s">
        <v>169</v>
      </c>
      <c r="H32" s="241" t="s">
        <v>1142</v>
      </c>
      <c r="I32" s="241">
        <v>2028</v>
      </c>
    </row>
    <row r="33" spans="1:9">
      <c r="A33" s="224" t="s">
        <v>183</v>
      </c>
      <c r="B33" s="241" t="s">
        <v>577</v>
      </c>
      <c r="C33" s="520"/>
      <c r="D33" s="520"/>
      <c r="E33" s="520"/>
      <c r="F33" s="241"/>
      <c r="G33" s="241" t="s">
        <v>169</v>
      </c>
      <c r="H33" s="241" t="s">
        <v>1142</v>
      </c>
      <c r="I33" s="241">
        <v>2028</v>
      </c>
    </row>
    <row r="34" spans="1:9">
      <c r="A34" s="224" t="s">
        <v>184</v>
      </c>
      <c r="B34" s="241" t="s">
        <v>577</v>
      </c>
      <c r="C34" s="520"/>
      <c r="D34" s="520"/>
      <c r="E34" s="520"/>
      <c r="F34" s="241"/>
      <c r="G34" s="241" t="s">
        <v>169</v>
      </c>
      <c r="H34" s="241" t="s">
        <v>1142</v>
      </c>
      <c r="I34" s="241">
        <v>2028</v>
      </c>
    </row>
    <row r="35" spans="1:9">
      <c r="A35" s="224" t="s">
        <v>185</v>
      </c>
      <c r="B35" s="241" t="s">
        <v>577</v>
      </c>
      <c r="C35" s="520"/>
      <c r="D35" s="520"/>
      <c r="E35" s="520"/>
      <c r="F35" s="241"/>
      <c r="G35" s="241" t="s">
        <v>1144</v>
      </c>
      <c r="H35" s="241" t="s">
        <v>1142</v>
      </c>
      <c r="I35" s="241">
        <v>2028</v>
      </c>
    </row>
    <row r="36" spans="1:9" ht="14.25" customHeight="1">
      <c r="A36" s="423" t="s">
        <v>897</v>
      </c>
      <c r="B36" s="256">
        <v>1998</v>
      </c>
      <c r="C36" s="530" t="s">
        <v>576</v>
      </c>
      <c r="D36" s="530"/>
      <c r="E36" s="530"/>
      <c r="F36" s="256" t="s">
        <v>898</v>
      </c>
      <c r="G36" s="256" t="s">
        <v>1141</v>
      </c>
      <c r="H36" s="256" t="s">
        <v>1142</v>
      </c>
      <c r="I36" s="256">
        <v>2014</v>
      </c>
    </row>
    <row r="37" spans="1:9">
      <c r="A37" s="421" t="s">
        <v>283</v>
      </c>
      <c r="B37" s="148">
        <v>1995</v>
      </c>
      <c r="C37" s="517" t="s">
        <v>666</v>
      </c>
      <c r="D37" s="517"/>
      <c r="E37" s="517"/>
      <c r="F37" s="523">
        <v>1</v>
      </c>
      <c r="G37" s="148" t="s">
        <v>188</v>
      </c>
      <c r="H37" s="148" t="s">
        <v>1142</v>
      </c>
      <c r="I37" s="148">
        <v>2050</v>
      </c>
    </row>
    <row r="38" spans="1:9">
      <c r="A38" s="224" t="s">
        <v>186</v>
      </c>
      <c r="B38" s="241">
        <v>1982</v>
      </c>
      <c r="C38" s="520"/>
      <c r="D38" s="520"/>
      <c r="E38" s="520"/>
      <c r="F38" s="524"/>
      <c r="G38" s="241" t="s">
        <v>1141</v>
      </c>
      <c r="H38" s="241" t="s">
        <v>1142</v>
      </c>
      <c r="I38" s="241">
        <v>2038</v>
      </c>
    </row>
    <row r="39" spans="1:9">
      <c r="A39" s="224" t="s">
        <v>284</v>
      </c>
      <c r="B39" s="241">
        <v>1996</v>
      </c>
      <c r="C39" s="520"/>
      <c r="D39" s="520"/>
      <c r="E39" s="520"/>
      <c r="F39" s="524"/>
      <c r="G39" s="241" t="s">
        <v>188</v>
      </c>
      <c r="H39" s="241" t="s">
        <v>1142</v>
      </c>
      <c r="I39" s="241">
        <v>2047</v>
      </c>
    </row>
    <row r="40" spans="1:9" ht="12.75" customHeight="1">
      <c r="A40" s="421" t="s">
        <v>187</v>
      </c>
      <c r="B40" s="148">
        <v>1999</v>
      </c>
      <c r="C40" s="517" t="s">
        <v>665</v>
      </c>
      <c r="D40" s="517"/>
      <c r="E40" s="517"/>
      <c r="F40" s="417">
        <v>1</v>
      </c>
      <c r="G40" s="148" t="s">
        <v>188</v>
      </c>
      <c r="H40" s="148" t="s">
        <v>1142</v>
      </c>
      <c r="I40" s="148">
        <v>2038</v>
      </c>
    </row>
    <row r="41" spans="1:9" ht="13.8" thickBot="1">
      <c r="A41" s="424" t="s">
        <v>189</v>
      </c>
      <c r="B41" s="246">
        <v>1982</v>
      </c>
      <c r="C41" s="425" t="s">
        <v>664</v>
      </c>
      <c r="D41" s="245"/>
      <c r="E41" s="245"/>
      <c r="F41" s="426">
        <v>1</v>
      </c>
      <c r="G41" s="246" t="s">
        <v>1141</v>
      </c>
      <c r="H41" s="246" t="s">
        <v>1142</v>
      </c>
      <c r="I41" s="246">
        <v>2014</v>
      </c>
    </row>
    <row r="42" spans="1:9" ht="13.8" thickTop="1">
      <c r="A42" s="515" t="s">
        <v>190</v>
      </c>
      <c r="B42" s="515"/>
      <c r="C42" s="515"/>
      <c r="D42" s="515"/>
      <c r="E42" s="515"/>
      <c r="F42" s="515"/>
      <c r="G42" s="515"/>
      <c r="H42" s="515"/>
      <c r="I42" s="515"/>
    </row>
    <row r="43" spans="1:9" ht="22.5" customHeight="1">
      <c r="A43" s="427" t="s">
        <v>191</v>
      </c>
      <c r="B43" s="26">
        <v>1986</v>
      </c>
      <c r="C43" s="519" t="s">
        <v>192</v>
      </c>
      <c r="D43" s="519"/>
      <c r="E43" s="519"/>
      <c r="F43" s="428">
        <v>1</v>
      </c>
      <c r="G43" s="26" t="s">
        <v>169</v>
      </c>
      <c r="H43" s="26" t="s">
        <v>1142</v>
      </c>
      <c r="I43" s="26">
        <v>2019</v>
      </c>
    </row>
    <row r="44" spans="1:9" ht="13.8" thickBot="1">
      <c r="A44" s="308" t="s">
        <v>193</v>
      </c>
      <c r="B44" s="123" t="s">
        <v>577</v>
      </c>
      <c r="C44" s="516" t="s">
        <v>180</v>
      </c>
      <c r="D44" s="516"/>
      <c r="E44" s="516"/>
      <c r="F44" s="261"/>
      <c r="G44" s="123" t="s">
        <v>169</v>
      </c>
      <c r="H44" s="123" t="s">
        <v>164</v>
      </c>
      <c r="I44" s="123">
        <v>2024</v>
      </c>
    </row>
    <row r="45" spans="1:9" ht="13.8" thickTop="1">
      <c r="A45" s="515" t="s">
        <v>194</v>
      </c>
      <c r="B45" s="515"/>
      <c r="C45" s="515"/>
      <c r="D45" s="515"/>
      <c r="E45" s="515"/>
      <c r="F45" s="515"/>
      <c r="G45" s="515"/>
      <c r="H45" s="515"/>
      <c r="I45" s="515"/>
    </row>
    <row r="46" spans="1:9" ht="25.5" customHeight="1" thickBot="1">
      <c r="A46" s="424" t="s">
        <v>195</v>
      </c>
      <c r="B46" s="246">
        <v>1974</v>
      </c>
      <c r="C46" s="516" t="s">
        <v>196</v>
      </c>
      <c r="D46" s="516"/>
      <c r="E46" s="516"/>
      <c r="F46" s="429">
        <v>1</v>
      </c>
      <c r="G46" s="246" t="s">
        <v>1141</v>
      </c>
      <c r="H46" s="246" t="s">
        <v>1142</v>
      </c>
      <c r="I46" s="246">
        <v>2018</v>
      </c>
    </row>
    <row r="47" spans="1:9" ht="13.8" thickTop="1">
      <c r="A47" s="515" t="s">
        <v>727</v>
      </c>
      <c r="B47" s="515"/>
      <c r="C47" s="515"/>
      <c r="D47" s="515"/>
      <c r="E47" s="515"/>
      <c r="F47" s="515"/>
      <c r="G47" s="515"/>
      <c r="H47" s="515"/>
      <c r="I47" s="515"/>
    </row>
    <row r="48" spans="1:9">
      <c r="A48" s="421" t="s">
        <v>728</v>
      </c>
      <c r="B48" s="148" t="s">
        <v>577</v>
      </c>
      <c r="C48" s="517" t="s">
        <v>180</v>
      </c>
      <c r="D48" s="517"/>
      <c r="E48" s="517"/>
      <c r="F48" s="148"/>
      <c r="G48" s="148" t="s">
        <v>1141</v>
      </c>
      <c r="H48" s="148" t="s">
        <v>1142</v>
      </c>
      <c r="I48" s="148">
        <v>2028</v>
      </c>
    </row>
    <row r="49" spans="1:9">
      <c r="A49" s="430" t="s">
        <v>729</v>
      </c>
      <c r="B49" s="244" t="s">
        <v>577</v>
      </c>
      <c r="C49" s="518"/>
      <c r="D49" s="518"/>
      <c r="E49" s="518"/>
      <c r="F49" s="244"/>
      <c r="G49" s="244" t="s">
        <v>169</v>
      </c>
      <c r="H49" s="244" t="s">
        <v>1142</v>
      </c>
      <c r="I49" s="244">
        <v>2028</v>
      </c>
    </row>
    <row r="50" spans="1:9" ht="25.5" customHeight="1" thickBot="1">
      <c r="A50" s="308" t="s">
        <v>730</v>
      </c>
      <c r="B50" s="123" t="s">
        <v>577</v>
      </c>
      <c r="C50" s="516" t="s">
        <v>731</v>
      </c>
      <c r="D50" s="516"/>
      <c r="E50" s="516"/>
      <c r="F50" s="431">
        <v>1</v>
      </c>
      <c r="G50" s="123" t="s">
        <v>1141</v>
      </c>
      <c r="H50" s="123" t="s">
        <v>164</v>
      </c>
      <c r="I50" s="123">
        <v>2028</v>
      </c>
    </row>
    <row r="51" spans="1:9" ht="13.8" thickTop="1">
      <c r="A51" s="432" t="s">
        <v>732</v>
      </c>
      <c r="B51" s="432"/>
      <c r="C51" s="432"/>
      <c r="D51" s="432"/>
      <c r="E51" s="432"/>
      <c r="F51" s="432"/>
      <c r="G51" s="432"/>
      <c r="H51" s="28"/>
      <c r="I51" s="47"/>
    </row>
    <row r="52" spans="1:9">
      <c r="A52" s="421" t="s">
        <v>733</v>
      </c>
      <c r="B52" s="148" t="s">
        <v>577</v>
      </c>
      <c r="C52" s="517" t="s">
        <v>734</v>
      </c>
      <c r="D52" s="517"/>
      <c r="E52" s="517"/>
      <c r="F52" s="417">
        <v>1</v>
      </c>
      <c r="G52" s="148" t="s">
        <v>169</v>
      </c>
      <c r="H52" s="148" t="s">
        <v>1142</v>
      </c>
      <c r="I52" s="148">
        <v>2043</v>
      </c>
    </row>
    <row r="53" spans="1:9">
      <c r="A53" s="430" t="s">
        <v>735</v>
      </c>
      <c r="B53" s="244" t="s">
        <v>577</v>
      </c>
      <c r="C53" s="518"/>
      <c r="D53" s="518"/>
      <c r="E53" s="518"/>
      <c r="F53" s="433"/>
      <c r="G53" s="244" t="s">
        <v>188</v>
      </c>
      <c r="H53" s="244" t="s">
        <v>1142</v>
      </c>
      <c r="I53" s="244">
        <v>2043</v>
      </c>
    </row>
    <row r="54" spans="1:9">
      <c r="A54" s="238" t="s">
        <v>736</v>
      </c>
      <c r="B54" s="47" t="s">
        <v>577</v>
      </c>
      <c r="C54" s="517" t="s">
        <v>180</v>
      </c>
      <c r="D54" s="517"/>
      <c r="E54" s="517"/>
      <c r="F54" s="321"/>
      <c r="G54" s="47" t="s">
        <v>1144</v>
      </c>
      <c r="H54" s="47" t="s">
        <v>1142</v>
      </c>
      <c r="I54" s="47">
        <v>2026</v>
      </c>
    </row>
    <row r="55" spans="1:9">
      <c r="A55" s="238" t="s">
        <v>737</v>
      </c>
      <c r="B55" s="47" t="s">
        <v>577</v>
      </c>
      <c r="C55" s="520"/>
      <c r="D55" s="520"/>
      <c r="E55" s="520"/>
      <c r="F55" s="321"/>
      <c r="G55" s="47" t="s">
        <v>169</v>
      </c>
      <c r="H55" s="47" t="s">
        <v>1142</v>
      </c>
      <c r="I55" s="47">
        <v>2026</v>
      </c>
    </row>
    <row r="56" spans="1:9">
      <c r="A56" s="238" t="s">
        <v>738</v>
      </c>
      <c r="B56" s="47" t="s">
        <v>577</v>
      </c>
      <c r="C56" s="520"/>
      <c r="D56" s="520"/>
      <c r="E56" s="520"/>
      <c r="F56" s="321"/>
      <c r="G56" s="47" t="s">
        <v>188</v>
      </c>
      <c r="H56" s="47" t="s">
        <v>1142</v>
      </c>
      <c r="I56" s="47">
        <v>2025</v>
      </c>
    </row>
    <row r="57" spans="1:9">
      <c r="A57" s="238" t="s">
        <v>739</v>
      </c>
      <c r="B57" s="47" t="s">
        <v>577</v>
      </c>
      <c r="C57" s="520"/>
      <c r="D57" s="520"/>
      <c r="E57" s="520"/>
      <c r="F57" s="321"/>
      <c r="G57" s="47" t="s">
        <v>1144</v>
      </c>
      <c r="H57" s="47" t="s">
        <v>1142</v>
      </c>
      <c r="I57" s="47">
        <v>2028</v>
      </c>
    </row>
    <row r="58" spans="1:9" ht="13.8" thickBot="1">
      <c r="A58" s="308" t="s">
        <v>740</v>
      </c>
      <c r="B58" s="123" t="s">
        <v>577</v>
      </c>
      <c r="C58" s="529"/>
      <c r="D58" s="529"/>
      <c r="E58" s="529"/>
      <c r="F58" s="261"/>
      <c r="G58" s="123" t="s">
        <v>169</v>
      </c>
      <c r="H58" s="123" t="s">
        <v>1142</v>
      </c>
      <c r="I58" s="123">
        <v>2028</v>
      </c>
    </row>
    <row r="59" spans="1:9" ht="25.5" customHeight="1" thickTop="1">
      <c r="A59" s="528" t="s">
        <v>900</v>
      </c>
      <c r="B59" s="528"/>
      <c r="C59" s="528"/>
      <c r="D59" s="528"/>
      <c r="E59" s="528"/>
      <c r="F59" s="528"/>
      <c r="G59" s="528"/>
      <c r="H59" s="528"/>
      <c r="I59" s="528"/>
    </row>
    <row r="60" spans="1:9" ht="51" customHeight="1">
      <c r="A60" s="490" t="s">
        <v>896</v>
      </c>
      <c r="B60" s="490"/>
      <c r="C60" s="490"/>
      <c r="D60" s="490"/>
      <c r="E60" s="490"/>
      <c r="F60" s="490"/>
      <c r="G60" s="490"/>
      <c r="H60" s="490"/>
      <c r="I60" s="490"/>
    </row>
    <row r="61" spans="1:9" ht="61.5" customHeight="1">
      <c r="A61" s="490" t="s">
        <v>454</v>
      </c>
      <c r="B61" s="490"/>
      <c r="C61" s="490"/>
      <c r="D61" s="490"/>
      <c r="E61" s="490"/>
      <c r="F61" s="490"/>
      <c r="G61" s="490"/>
      <c r="H61" s="490"/>
      <c r="I61" s="490"/>
    </row>
    <row r="62" spans="1:9" ht="15" customHeight="1">
      <c r="A62" s="490" t="s">
        <v>895</v>
      </c>
      <c r="B62" s="490"/>
      <c r="C62" s="490"/>
      <c r="D62" s="490"/>
      <c r="E62" s="490"/>
      <c r="F62" s="490"/>
      <c r="G62" s="490"/>
      <c r="H62" s="490"/>
      <c r="I62" s="490"/>
    </row>
    <row r="63" spans="1:9" ht="14.25" customHeight="1">
      <c r="A63" s="490" t="s">
        <v>1069</v>
      </c>
      <c r="B63" s="490"/>
      <c r="C63" s="490"/>
      <c r="D63" s="490"/>
      <c r="E63" s="490"/>
      <c r="F63" s="490"/>
      <c r="G63" s="490"/>
      <c r="H63" s="490"/>
      <c r="I63" s="490"/>
    </row>
    <row r="64" spans="1:9" ht="13.5" customHeight="1">
      <c r="A64" s="28"/>
      <c r="B64" s="28"/>
      <c r="C64" s="28"/>
      <c r="D64" s="28"/>
      <c r="E64" s="28"/>
      <c r="F64" s="28"/>
      <c r="G64" s="28"/>
      <c r="H64" s="28"/>
      <c r="I64" s="28"/>
    </row>
    <row r="65" spans="1:9">
      <c r="A65" s="487" t="s">
        <v>776</v>
      </c>
      <c r="B65" s="487"/>
      <c r="C65" s="487"/>
      <c r="D65" s="487"/>
      <c r="E65" s="487"/>
      <c r="F65" s="487"/>
      <c r="G65" s="487"/>
      <c r="H65" s="2"/>
      <c r="I65" s="2"/>
    </row>
    <row r="66" spans="1:9" hidden="1">
      <c r="A66" s="2"/>
      <c r="B66" s="2"/>
      <c r="C66" s="2"/>
      <c r="D66" s="2"/>
      <c r="E66" s="2"/>
      <c r="F66" s="2"/>
      <c r="G66" s="2"/>
      <c r="H66" s="2"/>
      <c r="I66" s="2"/>
    </row>
    <row r="67" spans="1:9" hidden="1">
      <c r="A67" s="2"/>
      <c r="B67" s="2"/>
      <c r="C67" s="2"/>
      <c r="D67" s="2"/>
      <c r="E67" s="2"/>
      <c r="F67" s="2"/>
      <c r="G67" s="2"/>
      <c r="H67" s="2"/>
      <c r="I67" s="2"/>
    </row>
    <row r="68" spans="1:9" hidden="1">
      <c r="A68" s="2"/>
      <c r="B68" s="2"/>
      <c r="C68" s="2"/>
      <c r="D68" s="2"/>
      <c r="E68" s="2"/>
      <c r="F68" s="2"/>
      <c r="G68" s="2"/>
      <c r="H68" s="2"/>
      <c r="I68" s="2"/>
    </row>
    <row r="69" spans="1:9" hidden="1">
      <c r="A69" s="2"/>
      <c r="B69" s="2"/>
      <c r="C69" s="2"/>
      <c r="D69" s="2"/>
      <c r="E69" s="2"/>
      <c r="F69" s="2"/>
      <c r="G69" s="2"/>
      <c r="H69" s="2"/>
      <c r="I69" s="2"/>
    </row>
    <row r="70" spans="1:9" hidden="1">
      <c r="A70" s="2"/>
      <c r="B70" s="2"/>
      <c r="C70" s="2"/>
      <c r="D70" s="2"/>
      <c r="E70" s="2"/>
      <c r="F70" s="2"/>
      <c r="G70" s="2"/>
      <c r="H70" s="2"/>
      <c r="I70" s="2"/>
    </row>
    <row r="71" spans="1:9" hidden="1">
      <c r="A71" s="2"/>
      <c r="B71" s="2"/>
      <c r="C71" s="2"/>
      <c r="D71" s="2"/>
      <c r="E71" s="2"/>
      <c r="F71" s="2"/>
      <c r="G71" s="2"/>
      <c r="H71" s="2"/>
      <c r="I71" s="2"/>
    </row>
    <row r="72" spans="1:9" hidden="1">
      <c r="A72" s="2"/>
      <c r="B72" s="2"/>
      <c r="C72" s="2"/>
      <c r="D72" s="2"/>
      <c r="E72" s="2"/>
      <c r="F72" s="2"/>
      <c r="G72" s="2"/>
      <c r="H72" s="2"/>
      <c r="I72" s="2"/>
    </row>
    <row r="73" spans="1:9" hidden="1">
      <c r="A73" s="2"/>
      <c r="B73" s="2"/>
      <c r="C73" s="2"/>
      <c r="D73" s="2"/>
      <c r="E73" s="2"/>
      <c r="F73" s="2"/>
      <c r="G73" s="2"/>
      <c r="H73" s="2"/>
      <c r="I73" s="2"/>
    </row>
    <row r="74" spans="1:9" hidden="1">
      <c r="A74" s="2"/>
      <c r="B74" s="2"/>
      <c r="C74" s="2"/>
      <c r="D74" s="2"/>
      <c r="E74" s="2"/>
      <c r="F74" s="2"/>
      <c r="G74" s="2"/>
      <c r="H74" s="2"/>
      <c r="I74" s="2"/>
    </row>
    <row r="75" spans="1:9" hidden="1">
      <c r="A75" s="2"/>
      <c r="B75" s="2"/>
      <c r="C75" s="2"/>
      <c r="D75" s="2"/>
      <c r="E75" s="2"/>
      <c r="F75" s="2"/>
      <c r="G75" s="2"/>
      <c r="H75" s="2"/>
      <c r="I75" s="2"/>
    </row>
    <row r="76" spans="1:9" hidden="1">
      <c r="A76" s="2"/>
      <c r="B76" s="2"/>
      <c r="C76" s="2"/>
      <c r="D76" s="2"/>
      <c r="E76" s="2"/>
      <c r="F76" s="2"/>
      <c r="G76" s="2"/>
      <c r="H76" s="2"/>
      <c r="I76" s="2"/>
    </row>
    <row r="77" spans="1:9" hidden="1">
      <c r="A77" s="2"/>
      <c r="B77" s="2"/>
      <c r="C77" s="2"/>
      <c r="D77" s="2"/>
      <c r="E77" s="2"/>
      <c r="F77" s="2"/>
      <c r="G77" s="2"/>
      <c r="H77" s="2"/>
      <c r="I77" s="2"/>
    </row>
    <row r="78" spans="1:9" hidden="1">
      <c r="A78" s="2"/>
      <c r="B78" s="2"/>
      <c r="C78" s="2"/>
      <c r="D78" s="2"/>
      <c r="E78" s="2"/>
      <c r="F78" s="2"/>
      <c r="G78" s="2"/>
      <c r="H78" s="2"/>
      <c r="I78" s="2"/>
    </row>
    <row r="79" spans="1:9" hidden="1">
      <c r="A79" s="2"/>
      <c r="B79" s="2"/>
      <c r="C79" s="2"/>
      <c r="D79" s="2"/>
      <c r="E79" s="2"/>
      <c r="F79" s="2"/>
      <c r="G79" s="2"/>
      <c r="H79" s="2"/>
      <c r="I79" s="2"/>
    </row>
    <row r="80" spans="1:9" hidden="1">
      <c r="A80" s="2"/>
      <c r="B80" s="2"/>
      <c r="C80" s="2"/>
      <c r="D80" s="2"/>
      <c r="E80" s="2"/>
      <c r="F80" s="2"/>
      <c r="G80" s="2"/>
      <c r="H80" s="2"/>
      <c r="I80" s="2"/>
    </row>
    <row r="81" spans="1:9" hidden="1">
      <c r="A81" s="2"/>
      <c r="B81" s="2"/>
      <c r="C81" s="2"/>
      <c r="D81" s="2"/>
      <c r="E81" s="2"/>
      <c r="F81" s="2"/>
      <c r="G81" s="2"/>
      <c r="H81" s="2"/>
      <c r="I81" s="2"/>
    </row>
    <row r="82" spans="1:9" hidden="1">
      <c r="A82" s="2"/>
      <c r="B82" s="2"/>
      <c r="C82" s="2"/>
      <c r="D82" s="2"/>
      <c r="E82" s="2"/>
      <c r="F82" s="2"/>
      <c r="G82" s="2"/>
      <c r="H82" s="2"/>
      <c r="I82" s="2"/>
    </row>
    <row r="83" spans="1:9" hidden="1">
      <c r="A83" s="2"/>
      <c r="B83" s="2"/>
      <c r="C83" s="2"/>
      <c r="D83" s="2"/>
      <c r="E83" s="2"/>
      <c r="F83" s="2"/>
      <c r="G83" s="2"/>
      <c r="H83" s="2"/>
      <c r="I83" s="2"/>
    </row>
    <row r="84" spans="1:9" hidden="1">
      <c r="A84" s="2"/>
      <c r="B84" s="2"/>
      <c r="C84" s="2"/>
      <c r="D84" s="2"/>
      <c r="E84" s="2"/>
      <c r="F84" s="2"/>
      <c r="G84" s="2"/>
      <c r="H84" s="2"/>
      <c r="I84" s="2"/>
    </row>
    <row r="85" spans="1:9" hidden="1">
      <c r="A85" s="2"/>
      <c r="B85" s="2"/>
      <c r="C85" s="2"/>
      <c r="D85" s="2"/>
      <c r="E85" s="2"/>
      <c r="F85" s="2"/>
      <c r="G85" s="2"/>
      <c r="H85" s="2"/>
      <c r="I85" s="2"/>
    </row>
    <row r="86" spans="1:9" hidden="1">
      <c r="A86" s="2"/>
      <c r="B86" s="2"/>
      <c r="C86" s="2"/>
      <c r="D86" s="2"/>
      <c r="E86" s="2"/>
      <c r="F86" s="2"/>
      <c r="G86" s="2"/>
      <c r="H86" s="2"/>
      <c r="I86" s="2"/>
    </row>
    <row r="87" spans="1:9" hidden="1">
      <c r="A87" s="2"/>
      <c r="B87" s="2"/>
      <c r="C87" s="2"/>
      <c r="D87" s="2"/>
      <c r="E87" s="2"/>
      <c r="F87" s="2"/>
      <c r="G87" s="2"/>
      <c r="H87" s="2"/>
      <c r="I87" s="2"/>
    </row>
    <row r="88" spans="1:9" hidden="1">
      <c r="A88" s="2"/>
      <c r="B88" s="2"/>
      <c r="C88" s="2"/>
      <c r="D88" s="2"/>
      <c r="E88" s="2"/>
      <c r="F88" s="2"/>
      <c r="G88" s="2"/>
      <c r="H88" s="2"/>
      <c r="I88" s="2"/>
    </row>
    <row r="89" spans="1:9" hidden="1">
      <c r="A89" s="2"/>
      <c r="B89" s="2"/>
      <c r="C89" s="2"/>
      <c r="D89" s="2"/>
      <c r="E89" s="2"/>
      <c r="F89" s="2"/>
      <c r="G89" s="2"/>
      <c r="H89" s="2"/>
      <c r="I89" s="2"/>
    </row>
    <row r="90" spans="1:9" hidden="1">
      <c r="A90" s="2"/>
      <c r="B90" s="2"/>
      <c r="C90" s="2"/>
      <c r="D90" s="2"/>
      <c r="E90" s="2"/>
      <c r="F90" s="2"/>
      <c r="G90" s="2"/>
      <c r="H90" s="2"/>
      <c r="I90" s="2"/>
    </row>
    <row r="91" spans="1:9" hidden="1">
      <c r="A91" s="2"/>
      <c r="B91" s="2"/>
      <c r="C91" s="2"/>
      <c r="D91" s="2"/>
      <c r="E91" s="2"/>
      <c r="F91" s="2"/>
      <c r="G91" s="2"/>
      <c r="H91" s="2"/>
      <c r="I91" s="2"/>
    </row>
    <row r="92" spans="1:9" hidden="1">
      <c r="A92" s="2"/>
      <c r="B92" s="2"/>
      <c r="C92" s="2"/>
      <c r="D92" s="2"/>
      <c r="E92" s="2"/>
      <c r="F92" s="2"/>
      <c r="G92" s="2"/>
      <c r="H92" s="2"/>
      <c r="I92" s="2"/>
    </row>
    <row r="93" spans="1:9" hidden="1">
      <c r="A93" s="2"/>
      <c r="B93" s="2"/>
      <c r="C93" s="2"/>
      <c r="D93" s="2"/>
      <c r="E93" s="2"/>
      <c r="F93" s="2"/>
      <c r="G93" s="2"/>
      <c r="H93" s="2"/>
      <c r="I93" s="2"/>
    </row>
    <row r="94" spans="1:9" hidden="1">
      <c r="A94" s="2"/>
      <c r="B94" s="2"/>
      <c r="C94" s="2"/>
      <c r="D94" s="2"/>
      <c r="E94" s="2"/>
      <c r="F94" s="2"/>
      <c r="G94" s="2"/>
      <c r="H94" s="2"/>
      <c r="I94" s="2"/>
    </row>
    <row r="95" spans="1:9" hidden="1">
      <c r="A95" s="2"/>
      <c r="B95" s="2"/>
      <c r="C95" s="2"/>
      <c r="D95" s="2"/>
      <c r="E95" s="2"/>
      <c r="F95" s="2"/>
      <c r="G95" s="2"/>
      <c r="H95" s="2"/>
      <c r="I95" s="2"/>
    </row>
    <row r="96" spans="1:9" hidden="1">
      <c r="A96" s="2"/>
      <c r="B96" s="2"/>
      <c r="C96" s="2"/>
      <c r="D96" s="2"/>
      <c r="E96" s="2"/>
      <c r="F96" s="2"/>
      <c r="G96" s="2"/>
      <c r="H96" s="2"/>
      <c r="I96" s="2"/>
    </row>
    <row r="97" s="2" customFormat="1" hidden="1"/>
    <row r="98" s="2" customFormat="1" hidden="1"/>
    <row r="99" s="2" customFormat="1" hidden="1"/>
    <row r="100" s="2" customFormat="1" hidden="1"/>
    <row r="101" s="2" customFormat="1" hidden="1"/>
    <row r="102" s="2" customFormat="1" hidden="1"/>
    <row r="103" s="2" customFormat="1" hidden="1"/>
    <row r="104" s="2" customFormat="1" hidden="1"/>
    <row r="105" s="2" customFormat="1" hidden="1"/>
    <row r="106" s="2" customFormat="1" hidden="1"/>
    <row r="107" s="2" customFormat="1" hidden="1"/>
    <row r="108" s="2" customFormat="1" hidden="1"/>
    <row r="109" s="2" customFormat="1" hidden="1"/>
    <row r="110" s="2" customFormat="1" hidden="1"/>
    <row r="111" s="2" customFormat="1" hidden="1"/>
    <row r="112" s="2" customFormat="1" hidden="1"/>
    <row r="113" s="2" customFormat="1" hidden="1"/>
    <row r="114" s="2" customFormat="1" hidden="1"/>
    <row r="115" s="2" customFormat="1" hidden="1"/>
    <row r="116" s="2" customFormat="1" hidden="1"/>
    <row r="117" s="2" customFormat="1" hidden="1"/>
    <row r="118" s="2" customFormat="1" hidden="1"/>
    <row r="119" s="2" customFormat="1" hidden="1"/>
    <row r="120" s="2" customFormat="1" hidden="1"/>
    <row r="121" s="2" customFormat="1" hidden="1"/>
    <row r="122" s="2" customFormat="1" hidden="1"/>
    <row r="123" s="2" customFormat="1" hidden="1"/>
    <row r="124" s="2" customFormat="1" hidden="1"/>
    <row r="125" s="2" customFormat="1" hidden="1"/>
    <row r="126" s="2" customFormat="1" hidden="1"/>
    <row r="127" s="2" customFormat="1" hidden="1"/>
    <row r="128" s="2" customFormat="1" hidden="1"/>
    <row r="129" s="2" customFormat="1" hidden="1"/>
    <row r="130" s="2" customFormat="1" hidden="1"/>
    <row r="131" s="2" customFormat="1" hidden="1"/>
    <row r="132" s="2" customFormat="1" hidden="1"/>
    <row r="133" s="2" customFormat="1" hidden="1"/>
    <row r="134" s="2" customFormat="1" hidden="1"/>
    <row r="135" s="2" customFormat="1" hidden="1"/>
    <row r="136" s="2" customFormat="1" hidden="1"/>
    <row r="137" s="2" customFormat="1" hidden="1"/>
    <row r="138" s="2" customFormat="1" hidden="1"/>
    <row r="139" s="2" customFormat="1" hidden="1"/>
    <row r="140" s="2" customFormat="1" hidden="1"/>
    <row r="141" s="2" customFormat="1" hidden="1"/>
    <row r="142" s="2" customFormat="1" hidden="1"/>
    <row r="143" s="2" customFormat="1" hidden="1"/>
  </sheetData>
  <sheetProtection password="CAF1" sheet="1" objects="1" scenarios="1" formatCells="0" formatColumns="0" formatRows="0" insertColumns="0" insertRows="0" insertHyperlinks="0" deleteColumns="0" deleteRows="0" sort="0" autoFilter="0" pivotTables="0"/>
  <mergeCells count="36">
    <mergeCell ref="A63:I63"/>
    <mergeCell ref="A42:I42"/>
    <mergeCell ref="A59:I59"/>
    <mergeCell ref="C44:E44"/>
    <mergeCell ref="C29:E29"/>
    <mergeCell ref="A60:I60"/>
    <mergeCell ref="A61:I61"/>
    <mergeCell ref="C52:E53"/>
    <mergeCell ref="C54:E58"/>
    <mergeCell ref="A62:I62"/>
    <mergeCell ref="C36:E36"/>
    <mergeCell ref="C37:E39"/>
    <mergeCell ref="F37:F39"/>
    <mergeCell ref="C16:E19"/>
    <mergeCell ref="C26:E28"/>
    <mergeCell ref="F26:F28"/>
    <mergeCell ref="A11:I11"/>
    <mergeCell ref="A9:I9"/>
    <mergeCell ref="C12:E15"/>
    <mergeCell ref="F12:F15"/>
    <mergeCell ref="A65:G65"/>
    <mergeCell ref="A2:I2"/>
    <mergeCell ref="A45:I45"/>
    <mergeCell ref="C50:E50"/>
    <mergeCell ref="C48:E49"/>
    <mergeCell ref="A47:I47"/>
    <mergeCell ref="C40:E40"/>
    <mergeCell ref="C43:E43"/>
    <mergeCell ref="C46:E46"/>
    <mergeCell ref="B4:I4"/>
    <mergeCell ref="C30:E35"/>
    <mergeCell ref="A8:I8"/>
    <mergeCell ref="C10:E10"/>
    <mergeCell ref="C20:E25"/>
    <mergeCell ref="F20:F25"/>
    <mergeCell ref="F16:F19"/>
  </mergeCells>
  <phoneticPr fontId="27" type="noConversion"/>
  <hyperlinks>
    <hyperlink ref="A65:G65" location="Титул!A1" display="Вернуться к Содержанию"/>
  </hyperlinks>
  <pageMargins left="0.25" right="0.25" top="0.75" bottom="0.75" header="0.3" footer="0.3"/>
  <pageSetup paperSize="9" firstPageNumber="14" orientation="portrait" useFirstPageNumber="1" r:id="rId1"/>
  <headerFooter alignWithMargins="0">
    <oddHeader>&amp;L&amp;"Times New Roman,полужирный"Газпром в цифрах 2006-2010 гг.&amp;R&amp;"Times New Roman,полужирный"Справочник</oddHeader>
    <oddFooter>&amp;C&amp;P</oddFooter>
  </headerFooter>
  <rowBreaks count="1" manualBreakCount="1">
    <brk id="41" max="8" man="1"/>
  </rowBreaks>
</worksheet>
</file>

<file path=xl/worksheets/sheet12.xml><?xml version="1.0" encoding="utf-8"?>
<worksheet xmlns="http://schemas.openxmlformats.org/spreadsheetml/2006/main" xmlns:r="http://schemas.openxmlformats.org/officeDocument/2006/relationships">
  <sheetPr codeName="Лист12"/>
  <dimension ref="A1:U37"/>
  <sheetViews>
    <sheetView zoomScaleNormal="100" zoomScaleSheetLayoutView="100" workbookViewId="0"/>
  </sheetViews>
  <sheetFormatPr defaultColWidth="0" defaultRowHeight="13.2" zeroHeight="1" outlineLevelCol="1"/>
  <cols>
    <col min="1" max="1" width="29.44140625" style="2" customWidth="1"/>
    <col min="2" max="2" width="8.6640625" style="2" hidden="1" customWidth="1" outlineLevel="1"/>
    <col min="3" max="3" width="7.5546875" style="2" customWidth="1" collapsed="1"/>
    <col min="4" max="7" width="7.5546875" style="2" customWidth="1"/>
    <col min="8" max="8" width="1.33203125" style="4" customWidth="1"/>
    <col min="9" max="9" width="7.5546875" style="2" hidden="1" customWidth="1" outlineLevel="1"/>
    <col min="10" max="10" width="7.5546875" style="2" customWidth="1" collapsed="1"/>
    <col min="11" max="14" width="7.5546875" style="2" customWidth="1"/>
    <col min="15" max="15" width="1.33203125" style="4" customWidth="1"/>
    <col min="16" max="16" width="7.5546875" style="2" hidden="1" customWidth="1" outlineLevel="1"/>
    <col min="17" max="17" width="7.5546875" style="2" customWidth="1" collapsed="1"/>
    <col min="18" max="21" width="7.5546875" style="2" customWidth="1"/>
    <col min="22" max="16384" width="0" style="2" hidden="1"/>
  </cols>
  <sheetData>
    <row r="1" spans="1:21" ht="15.6">
      <c r="A1" s="51" t="s">
        <v>55</v>
      </c>
      <c r="B1" s="51"/>
      <c r="C1" s="199"/>
      <c r="D1" s="199"/>
      <c r="E1" s="199"/>
      <c r="F1" s="199"/>
      <c r="G1" s="199"/>
      <c r="H1" s="199"/>
      <c r="I1" s="199"/>
      <c r="J1" s="199"/>
      <c r="K1" s="199"/>
      <c r="L1" s="29"/>
      <c r="M1" s="29"/>
      <c r="N1" s="29"/>
      <c r="O1" s="29"/>
      <c r="P1" s="29"/>
      <c r="Q1" s="29"/>
      <c r="R1" s="29"/>
      <c r="S1" s="29"/>
      <c r="T1" s="29"/>
      <c r="U1" s="29"/>
    </row>
    <row r="2" spans="1:21" ht="15.6">
      <c r="A2" s="89"/>
      <c r="B2" s="89"/>
      <c r="C2" s="537"/>
      <c r="D2" s="537"/>
      <c r="E2" s="537"/>
      <c r="F2" s="537"/>
      <c r="G2" s="200"/>
      <c r="H2" s="200"/>
      <c r="I2" s="537"/>
      <c r="J2" s="537"/>
      <c r="K2" s="537"/>
      <c r="L2" s="537"/>
      <c r="M2" s="537"/>
      <c r="N2" s="200"/>
      <c r="O2" s="200"/>
      <c r="P2" s="537"/>
      <c r="Q2" s="537"/>
      <c r="R2" s="537"/>
      <c r="S2" s="537"/>
      <c r="T2" s="537"/>
      <c r="U2" s="200"/>
    </row>
    <row r="3" spans="1:21">
      <c r="A3" s="200"/>
      <c r="B3" s="200"/>
      <c r="C3" s="200"/>
      <c r="D3" s="200"/>
      <c r="E3" s="200"/>
      <c r="F3" s="200"/>
      <c r="G3" s="200"/>
      <c r="H3" s="200"/>
      <c r="I3" s="200"/>
      <c r="J3" s="200"/>
      <c r="K3" s="200"/>
      <c r="L3" s="200"/>
      <c r="M3" s="200"/>
      <c r="N3" s="200"/>
      <c r="O3" s="200"/>
      <c r="P3" s="200"/>
      <c r="Q3" s="200"/>
      <c r="R3" s="200"/>
      <c r="S3" s="200"/>
      <c r="T3" s="200"/>
      <c r="U3" s="200"/>
    </row>
    <row r="4" spans="1:21">
      <c r="A4" s="200"/>
      <c r="B4" s="200"/>
      <c r="C4" s="537"/>
      <c r="D4" s="537"/>
      <c r="E4" s="537"/>
      <c r="F4" s="537"/>
      <c r="G4" s="200"/>
      <c r="H4" s="200"/>
      <c r="I4" s="537"/>
      <c r="J4" s="537"/>
      <c r="K4" s="537"/>
      <c r="L4" s="537"/>
      <c r="M4" s="537"/>
      <c r="N4" s="200"/>
      <c r="O4" s="200"/>
      <c r="P4" s="537"/>
      <c r="Q4" s="537"/>
      <c r="R4" s="537"/>
      <c r="S4" s="537"/>
      <c r="T4" s="537"/>
      <c r="U4" s="200"/>
    </row>
    <row r="5" spans="1:21">
      <c r="A5" s="64"/>
      <c r="B5" s="64"/>
      <c r="C5" s="201"/>
      <c r="D5" s="201"/>
      <c r="E5" s="201"/>
      <c r="F5" s="201"/>
      <c r="G5" s="201"/>
      <c r="H5" s="201"/>
      <c r="I5" s="201"/>
      <c r="J5" s="201"/>
      <c r="K5" s="201"/>
      <c r="L5" s="201"/>
      <c r="M5" s="201"/>
      <c r="N5" s="201"/>
      <c r="O5" s="201"/>
      <c r="P5" s="201"/>
      <c r="Q5" s="201"/>
      <c r="R5" s="201"/>
      <c r="S5" s="201"/>
      <c r="T5" s="201"/>
      <c r="U5" s="201"/>
    </row>
    <row r="6" spans="1:21">
      <c r="A6" s="71"/>
      <c r="B6" s="71"/>
      <c r="C6" s="536"/>
      <c r="D6" s="536"/>
      <c r="E6" s="536"/>
      <c r="F6" s="536"/>
      <c r="G6" s="202"/>
      <c r="H6" s="202"/>
      <c r="I6" s="536"/>
      <c r="J6" s="536"/>
      <c r="K6" s="536"/>
      <c r="L6" s="536"/>
      <c r="M6" s="536"/>
      <c r="N6" s="202"/>
      <c r="O6" s="202"/>
      <c r="P6" s="536"/>
      <c r="Q6" s="536"/>
      <c r="R6" s="536"/>
      <c r="S6" s="536"/>
      <c r="T6" s="536"/>
      <c r="U6" s="202"/>
    </row>
    <row r="7" spans="1:21">
      <c r="A7" s="64"/>
      <c r="B7" s="64"/>
      <c r="C7" s="201"/>
      <c r="D7" s="201"/>
      <c r="E7" s="201"/>
      <c r="F7" s="201"/>
      <c r="G7" s="201"/>
      <c r="H7" s="201"/>
      <c r="I7" s="201"/>
      <c r="J7" s="201"/>
      <c r="K7" s="201"/>
      <c r="L7" s="201"/>
      <c r="M7" s="201"/>
      <c r="N7" s="201"/>
      <c r="O7" s="201"/>
      <c r="P7" s="201"/>
      <c r="Q7" s="201"/>
      <c r="R7" s="201"/>
      <c r="S7" s="201"/>
      <c r="T7" s="201"/>
      <c r="U7" s="201"/>
    </row>
    <row r="8" spans="1:21">
      <c r="A8" s="71"/>
      <c r="B8" s="71"/>
      <c r="C8" s="536"/>
      <c r="D8" s="536"/>
      <c r="E8" s="536"/>
      <c r="F8" s="536"/>
      <c r="G8" s="202"/>
      <c r="H8" s="202"/>
      <c r="I8" s="536"/>
      <c r="J8" s="536"/>
      <c r="K8" s="536"/>
      <c r="L8" s="536"/>
      <c r="M8" s="536"/>
      <c r="N8" s="202"/>
      <c r="O8" s="202"/>
      <c r="P8" s="536"/>
      <c r="Q8" s="536"/>
      <c r="R8" s="536"/>
      <c r="S8" s="536"/>
      <c r="T8" s="536"/>
      <c r="U8" s="202"/>
    </row>
    <row r="9" spans="1:21">
      <c r="A9" s="64"/>
      <c r="B9" s="64"/>
      <c r="C9" s="201"/>
      <c r="D9" s="201"/>
      <c r="E9" s="201"/>
      <c r="F9" s="201"/>
      <c r="G9" s="201"/>
      <c r="H9" s="201"/>
      <c r="I9" s="201"/>
      <c r="J9" s="201"/>
      <c r="K9" s="201"/>
      <c r="L9" s="201"/>
      <c r="M9" s="201"/>
      <c r="N9" s="201"/>
      <c r="O9" s="201"/>
      <c r="P9" s="201"/>
      <c r="Q9" s="201"/>
      <c r="R9" s="201"/>
      <c r="S9" s="201"/>
      <c r="T9" s="201"/>
      <c r="U9" s="201"/>
    </row>
    <row r="10" spans="1:21">
      <c r="A10" s="64"/>
      <c r="B10" s="64"/>
      <c r="C10" s="203"/>
      <c r="D10" s="203"/>
      <c r="E10" s="203"/>
      <c r="F10" s="203"/>
      <c r="G10" s="203"/>
      <c r="H10" s="203"/>
      <c r="I10" s="536"/>
      <c r="J10" s="536"/>
      <c r="K10" s="536"/>
      <c r="L10" s="536"/>
      <c r="M10" s="536"/>
      <c r="N10" s="202"/>
      <c r="O10" s="203"/>
      <c r="P10" s="536"/>
      <c r="Q10" s="536"/>
      <c r="R10" s="536"/>
      <c r="S10" s="536"/>
      <c r="T10" s="536"/>
      <c r="U10" s="202"/>
    </row>
    <row r="11" spans="1:21">
      <c r="A11" s="71"/>
      <c r="B11" s="71"/>
      <c r="C11" s="204"/>
      <c r="D11" s="204"/>
      <c r="E11" s="204"/>
      <c r="F11" s="204"/>
      <c r="G11" s="204"/>
      <c r="H11" s="204"/>
      <c r="I11" s="204"/>
      <c r="J11" s="204"/>
      <c r="K11" s="204"/>
      <c r="L11" s="204"/>
      <c r="M11" s="204"/>
      <c r="N11" s="204"/>
      <c r="O11" s="204"/>
      <c r="P11" s="204"/>
      <c r="Q11" s="204"/>
      <c r="R11" s="204"/>
      <c r="S11" s="204"/>
      <c r="T11" s="204"/>
      <c r="U11" s="204"/>
    </row>
    <row r="12" spans="1:21">
      <c r="A12" s="28"/>
      <c r="B12" s="28"/>
      <c r="C12" s="28"/>
      <c r="D12" s="28"/>
      <c r="E12" s="28"/>
      <c r="F12" s="28"/>
      <c r="G12" s="28"/>
      <c r="H12" s="29"/>
      <c r="I12" s="28"/>
      <c r="J12" s="28"/>
      <c r="K12" s="28"/>
      <c r="L12" s="28"/>
      <c r="M12" s="28"/>
      <c r="N12" s="28"/>
      <c r="O12" s="29"/>
      <c r="P12" s="28"/>
      <c r="Q12" s="28"/>
      <c r="R12" s="28"/>
      <c r="S12" s="28"/>
      <c r="T12" s="28"/>
      <c r="U12" s="28"/>
    </row>
    <row r="13" spans="1:21">
      <c r="A13" s="28"/>
      <c r="B13" s="28"/>
      <c r="C13" s="28"/>
      <c r="D13" s="28"/>
      <c r="E13" s="28"/>
      <c r="F13" s="28"/>
      <c r="G13" s="28"/>
      <c r="H13" s="29"/>
      <c r="I13" s="28"/>
      <c r="J13" s="28"/>
      <c r="K13" s="28"/>
      <c r="L13" s="28"/>
      <c r="M13" s="28"/>
      <c r="N13" s="28"/>
      <c r="O13" s="29"/>
      <c r="P13" s="28"/>
      <c r="Q13" s="28"/>
      <c r="R13" s="28"/>
      <c r="S13" s="28"/>
      <c r="T13" s="28"/>
      <c r="U13" s="28"/>
    </row>
    <row r="14" spans="1:21">
      <c r="A14" s="28"/>
      <c r="B14" s="28"/>
      <c r="C14" s="28"/>
      <c r="D14" s="28"/>
      <c r="E14" s="28"/>
      <c r="F14" s="28"/>
      <c r="G14" s="28"/>
      <c r="H14" s="29"/>
      <c r="I14" s="28"/>
      <c r="J14" s="28"/>
      <c r="K14" s="28"/>
      <c r="L14" s="28"/>
      <c r="M14" s="28"/>
      <c r="N14" s="28"/>
      <c r="O14" s="29"/>
      <c r="P14" s="28"/>
      <c r="Q14" s="28"/>
      <c r="R14" s="28"/>
      <c r="S14" s="28"/>
      <c r="T14" s="28"/>
      <c r="U14" s="28"/>
    </row>
    <row r="15" spans="1:21">
      <c r="A15" s="28"/>
      <c r="B15" s="28"/>
      <c r="C15" s="28"/>
      <c r="D15" s="28"/>
      <c r="E15" s="28"/>
      <c r="F15" s="28"/>
      <c r="G15" s="28"/>
      <c r="H15" s="29"/>
      <c r="I15" s="28"/>
      <c r="J15" s="28"/>
      <c r="K15" s="28"/>
      <c r="L15" s="28"/>
      <c r="M15" s="28"/>
      <c r="N15" s="28"/>
      <c r="O15" s="29"/>
      <c r="P15" s="28"/>
      <c r="Q15" s="28"/>
      <c r="R15" s="28"/>
      <c r="S15" s="28"/>
      <c r="T15" s="28"/>
      <c r="U15" s="28"/>
    </row>
    <row r="16" spans="1:21">
      <c r="A16" s="28"/>
      <c r="B16" s="28"/>
      <c r="C16" s="28"/>
      <c r="D16" s="28"/>
      <c r="E16" s="28"/>
      <c r="F16" s="28"/>
      <c r="G16" s="28"/>
      <c r="H16" s="29"/>
      <c r="I16" s="28"/>
      <c r="J16" s="28"/>
      <c r="K16" s="28"/>
      <c r="L16" s="28"/>
      <c r="M16" s="28"/>
      <c r="N16" s="28"/>
      <c r="O16" s="29"/>
      <c r="P16" s="28"/>
      <c r="Q16" s="28"/>
      <c r="R16" s="28"/>
      <c r="S16" s="28"/>
      <c r="T16" s="28"/>
      <c r="U16" s="28"/>
    </row>
    <row r="17" spans="1:21">
      <c r="A17" s="28"/>
      <c r="B17" s="28"/>
      <c r="C17" s="28"/>
      <c r="D17" s="28"/>
      <c r="E17" s="28"/>
      <c r="F17" s="28"/>
      <c r="G17" s="28"/>
      <c r="H17" s="29"/>
      <c r="I17" s="28"/>
      <c r="J17" s="28"/>
      <c r="K17" s="28"/>
      <c r="L17" s="28"/>
      <c r="M17" s="28"/>
      <c r="N17" s="28"/>
      <c r="O17" s="29"/>
      <c r="P17" s="28"/>
      <c r="Q17" s="28"/>
      <c r="R17" s="28"/>
      <c r="S17" s="28"/>
      <c r="T17" s="28"/>
      <c r="U17" s="28"/>
    </row>
    <row r="18" spans="1:21">
      <c r="A18" s="28"/>
      <c r="B18" s="28"/>
      <c r="C18" s="28"/>
      <c r="D18" s="28"/>
      <c r="E18" s="28"/>
      <c r="F18" s="28"/>
      <c r="G18" s="28"/>
      <c r="H18" s="29"/>
      <c r="I18" s="28"/>
      <c r="J18" s="28"/>
      <c r="K18" s="28"/>
      <c r="L18" s="28"/>
      <c r="M18" s="28"/>
      <c r="N18" s="28"/>
      <c r="O18" s="29"/>
      <c r="P18" s="28"/>
      <c r="Q18" s="28"/>
      <c r="R18" s="28"/>
      <c r="S18" s="28"/>
      <c r="T18" s="28"/>
      <c r="U18" s="28"/>
    </row>
    <row r="19" spans="1:21">
      <c r="A19" s="28"/>
      <c r="B19" s="28"/>
      <c r="C19" s="28"/>
      <c r="D19" s="28"/>
      <c r="E19" s="28"/>
      <c r="F19" s="28"/>
      <c r="G19" s="28"/>
      <c r="H19" s="29"/>
      <c r="I19" s="28"/>
      <c r="J19" s="28"/>
      <c r="K19" s="28"/>
      <c r="L19" s="28"/>
      <c r="M19" s="28"/>
      <c r="N19" s="28"/>
      <c r="O19" s="29"/>
      <c r="P19" s="28"/>
      <c r="Q19" s="28"/>
      <c r="R19" s="28"/>
      <c r="S19" s="28"/>
      <c r="T19" s="28"/>
      <c r="U19" s="28"/>
    </row>
    <row r="20" spans="1:21">
      <c r="A20" s="28"/>
      <c r="B20" s="28"/>
      <c r="C20" s="28"/>
      <c r="D20" s="28"/>
      <c r="E20" s="28"/>
      <c r="F20" s="28"/>
      <c r="G20" s="28"/>
      <c r="H20" s="29"/>
      <c r="I20" s="28"/>
      <c r="J20" s="28"/>
      <c r="K20" s="28"/>
      <c r="L20" s="28"/>
      <c r="M20" s="28"/>
      <c r="N20" s="28"/>
      <c r="O20" s="29"/>
      <c r="P20" s="28"/>
      <c r="Q20" s="28"/>
      <c r="R20" s="28"/>
      <c r="S20" s="28"/>
      <c r="T20" s="28"/>
      <c r="U20" s="28"/>
    </row>
    <row r="21" spans="1:21">
      <c r="A21" s="28"/>
      <c r="B21" s="28"/>
      <c r="C21" s="28"/>
      <c r="D21" s="28"/>
      <c r="E21" s="28"/>
      <c r="F21" s="28"/>
      <c r="G21" s="28"/>
      <c r="H21" s="29"/>
      <c r="I21" s="28"/>
      <c r="J21" s="28"/>
      <c r="K21" s="28"/>
      <c r="L21" s="28"/>
      <c r="M21" s="28"/>
      <c r="N21" s="28"/>
      <c r="O21" s="29"/>
      <c r="P21" s="28"/>
      <c r="Q21" s="28"/>
      <c r="R21" s="28"/>
      <c r="S21" s="28"/>
      <c r="T21" s="28"/>
      <c r="U21" s="28"/>
    </row>
    <row r="22" spans="1:21">
      <c r="A22" s="28"/>
      <c r="B22" s="28"/>
      <c r="C22" s="28"/>
      <c r="D22" s="28"/>
      <c r="E22" s="28"/>
      <c r="F22" s="28"/>
      <c r="G22" s="28"/>
      <c r="H22" s="29"/>
      <c r="I22" s="28"/>
      <c r="J22" s="28"/>
      <c r="K22" s="28"/>
      <c r="L22" s="28"/>
      <c r="M22" s="28"/>
      <c r="N22" s="28"/>
      <c r="O22" s="29"/>
      <c r="P22" s="28"/>
      <c r="Q22" s="28"/>
      <c r="R22" s="28"/>
      <c r="S22" s="28"/>
      <c r="T22" s="28"/>
      <c r="U22" s="28"/>
    </row>
    <row r="23" spans="1:21">
      <c r="A23" s="28"/>
      <c r="B23" s="28"/>
      <c r="C23" s="28"/>
      <c r="D23" s="28"/>
      <c r="E23" s="28"/>
      <c r="F23" s="28"/>
      <c r="G23" s="28"/>
      <c r="H23" s="29"/>
      <c r="I23" s="28"/>
      <c r="J23" s="28"/>
      <c r="K23" s="28"/>
      <c r="L23" s="28"/>
      <c r="M23" s="28"/>
      <c r="N23" s="28"/>
      <c r="O23" s="29"/>
      <c r="P23" s="28"/>
      <c r="Q23" s="28"/>
      <c r="R23" s="28"/>
      <c r="S23" s="28"/>
      <c r="T23" s="28"/>
      <c r="U23" s="28"/>
    </row>
    <row r="24" spans="1:21">
      <c r="A24" s="28"/>
      <c r="B24" s="28"/>
      <c r="C24" s="28"/>
      <c r="D24" s="28"/>
      <c r="E24" s="28"/>
      <c r="F24" s="28"/>
      <c r="G24" s="28"/>
      <c r="H24" s="29"/>
      <c r="I24" s="28"/>
      <c r="J24" s="28"/>
      <c r="K24" s="28"/>
      <c r="L24" s="28"/>
      <c r="M24" s="28"/>
      <c r="N24" s="28"/>
      <c r="O24" s="29"/>
      <c r="P24" s="28"/>
      <c r="Q24" s="28"/>
      <c r="R24" s="28"/>
      <c r="S24" s="28"/>
      <c r="T24" s="28"/>
      <c r="U24" s="28"/>
    </row>
    <row r="25" spans="1:21" ht="15.6">
      <c r="A25" s="51" t="s">
        <v>56</v>
      </c>
      <c r="B25" s="51"/>
      <c r="C25" s="28"/>
      <c r="D25" s="28"/>
      <c r="E25" s="28"/>
      <c r="F25" s="28"/>
      <c r="G25" s="28"/>
      <c r="H25" s="29"/>
      <c r="I25" s="28"/>
      <c r="J25" s="28"/>
      <c r="K25" s="28"/>
      <c r="L25" s="28"/>
      <c r="M25" s="28"/>
      <c r="N25" s="28"/>
      <c r="O25" s="29"/>
      <c r="P25" s="28"/>
      <c r="Q25" s="28"/>
      <c r="R25" s="28"/>
      <c r="S25" s="28"/>
      <c r="T25" s="28"/>
      <c r="U25" s="28"/>
    </row>
    <row r="26" spans="1:21" ht="12.75" customHeight="1">
      <c r="A26" s="24"/>
      <c r="B26" s="24"/>
      <c r="C26" s="488" t="s">
        <v>656</v>
      </c>
      <c r="D26" s="488"/>
      <c r="E26" s="488"/>
      <c r="F26" s="488"/>
      <c r="G26" s="488"/>
      <c r="H26" s="31"/>
      <c r="I26" s="488" t="s">
        <v>656</v>
      </c>
      <c r="J26" s="488"/>
      <c r="K26" s="488"/>
      <c r="L26" s="488"/>
      <c r="M26" s="488"/>
      <c r="N26" s="488"/>
      <c r="O26" s="31"/>
      <c r="P26" s="488" t="s">
        <v>656</v>
      </c>
      <c r="Q26" s="488"/>
      <c r="R26" s="488"/>
      <c r="S26" s="488"/>
      <c r="T26" s="488"/>
      <c r="U26" s="488"/>
    </row>
    <row r="27" spans="1:21">
      <c r="A27" s="24"/>
      <c r="B27" s="24">
        <v>2005</v>
      </c>
      <c r="C27" s="32">
        <v>2006</v>
      </c>
      <c r="D27" s="32">
        <v>2007</v>
      </c>
      <c r="E27" s="32">
        <v>2008</v>
      </c>
      <c r="F27" s="32">
        <v>2009</v>
      </c>
      <c r="G27" s="32">
        <v>2010</v>
      </c>
      <c r="H27" s="33"/>
      <c r="I27" s="32">
        <v>2005</v>
      </c>
      <c r="J27" s="32">
        <v>2006</v>
      </c>
      <c r="K27" s="32">
        <v>2007</v>
      </c>
      <c r="L27" s="32">
        <v>2008</v>
      </c>
      <c r="M27" s="32">
        <v>2009</v>
      </c>
      <c r="N27" s="32">
        <v>2010</v>
      </c>
      <c r="O27" s="33"/>
      <c r="P27" s="32">
        <v>2005</v>
      </c>
      <c r="Q27" s="32">
        <v>2006</v>
      </c>
      <c r="R27" s="32">
        <v>2007</v>
      </c>
      <c r="S27" s="32">
        <v>2008</v>
      </c>
      <c r="T27" s="32">
        <v>2009</v>
      </c>
      <c r="U27" s="32">
        <v>2010</v>
      </c>
    </row>
    <row r="28" spans="1:21" ht="13.2" customHeight="1">
      <c r="A28" s="207"/>
      <c r="B28" s="207"/>
      <c r="C28" s="533" t="s">
        <v>260</v>
      </c>
      <c r="D28" s="533"/>
      <c r="E28" s="533"/>
      <c r="F28" s="533"/>
      <c r="G28" s="533"/>
      <c r="H28" s="200"/>
      <c r="I28" s="533" t="s">
        <v>261</v>
      </c>
      <c r="J28" s="533"/>
      <c r="K28" s="533"/>
      <c r="L28" s="533"/>
      <c r="M28" s="533"/>
      <c r="N28" s="533"/>
      <c r="O28" s="200"/>
      <c r="P28" s="533" t="s">
        <v>262</v>
      </c>
      <c r="Q28" s="533"/>
      <c r="R28" s="533"/>
      <c r="S28" s="533"/>
      <c r="T28" s="533"/>
      <c r="U28" s="533"/>
    </row>
    <row r="29" spans="1:21" ht="13.8" thickBot="1">
      <c r="A29" s="105" t="s">
        <v>657</v>
      </c>
      <c r="B29" s="208">
        <v>555</v>
      </c>
      <c r="C29" s="183">
        <v>555.95000000000005</v>
      </c>
      <c r="D29" s="183">
        <v>548.54999999999995</v>
      </c>
      <c r="E29" s="183">
        <v>549.73</v>
      </c>
      <c r="F29" s="183">
        <v>461.52</v>
      </c>
      <c r="G29" s="183">
        <v>508.59</v>
      </c>
      <c r="H29" s="64"/>
      <c r="I29" s="37">
        <f t="shared" ref="I29:N29" si="0">ROUND(B29*1.154,2)</f>
        <v>640.47</v>
      </c>
      <c r="J29" s="37">
        <f t="shared" si="0"/>
        <v>641.57000000000005</v>
      </c>
      <c r="K29" s="37">
        <f t="shared" si="0"/>
        <v>633.03</v>
      </c>
      <c r="L29" s="37">
        <f t="shared" si="0"/>
        <v>634.39</v>
      </c>
      <c r="M29" s="37">
        <f t="shared" si="0"/>
        <v>532.59</v>
      </c>
      <c r="N29" s="37">
        <f t="shared" si="0"/>
        <v>586.91</v>
      </c>
      <c r="O29" s="209"/>
      <c r="P29" s="37">
        <f t="shared" ref="P29:U29" si="1">ROUND(B29*5.89,2)</f>
        <v>3268.95</v>
      </c>
      <c r="Q29" s="37">
        <f t="shared" si="1"/>
        <v>3274.55</v>
      </c>
      <c r="R29" s="37">
        <f t="shared" si="1"/>
        <v>3230.96</v>
      </c>
      <c r="S29" s="37">
        <f t="shared" si="1"/>
        <v>3237.91</v>
      </c>
      <c r="T29" s="37">
        <f t="shared" si="1"/>
        <v>2718.35</v>
      </c>
      <c r="U29" s="37">
        <f t="shared" si="1"/>
        <v>2995.6</v>
      </c>
    </row>
    <row r="30" spans="1:21" ht="13.95" customHeight="1" thickTop="1">
      <c r="A30" s="100"/>
      <c r="B30" s="100"/>
      <c r="C30" s="532" t="s">
        <v>581</v>
      </c>
      <c r="D30" s="532"/>
      <c r="E30" s="532"/>
      <c r="F30" s="532"/>
      <c r="G30" s="532"/>
      <c r="H30" s="200"/>
      <c r="I30" s="535" t="s">
        <v>261</v>
      </c>
      <c r="J30" s="535"/>
      <c r="K30" s="535"/>
      <c r="L30" s="535"/>
      <c r="M30" s="535"/>
      <c r="N30" s="535"/>
      <c r="O30" s="200"/>
      <c r="P30" s="535" t="s">
        <v>262</v>
      </c>
      <c r="Q30" s="535"/>
      <c r="R30" s="535"/>
      <c r="S30" s="535"/>
      <c r="T30" s="535"/>
      <c r="U30" s="535"/>
    </row>
    <row r="31" spans="1:21" ht="13.8" thickBot="1">
      <c r="A31" s="105" t="s">
        <v>658</v>
      </c>
      <c r="B31" s="208">
        <v>11.5</v>
      </c>
      <c r="C31" s="183">
        <v>11.37</v>
      </c>
      <c r="D31" s="183">
        <v>11.27</v>
      </c>
      <c r="E31" s="183">
        <v>10.93</v>
      </c>
      <c r="F31" s="183">
        <v>10.07</v>
      </c>
      <c r="G31" s="183">
        <v>11.29</v>
      </c>
      <c r="H31" s="64"/>
      <c r="I31" s="37">
        <f t="shared" ref="I31:N31" si="2">ROUND(B31*1.43,2)</f>
        <v>16.45</v>
      </c>
      <c r="J31" s="37">
        <f t="shared" si="2"/>
        <v>16.260000000000002</v>
      </c>
      <c r="K31" s="37">
        <f t="shared" si="2"/>
        <v>16.12</v>
      </c>
      <c r="L31" s="37">
        <f t="shared" si="2"/>
        <v>15.63</v>
      </c>
      <c r="M31" s="37">
        <f t="shared" si="2"/>
        <v>14.4</v>
      </c>
      <c r="N31" s="37">
        <f t="shared" si="2"/>
        <v>16.14</v>
      </c>
      <c r="O31" s="209"/>
      <c r="P31" s="37">
        <f t="shared" ref="P31:U31" si="3">ROUND(B31*8.18,2)</f>
        <v>94.07</v>
      </c>
      <c r="Q31" s="37">
        <f t="shared" si="3"/>
        <v>93.01</v>
      </c>
      <c r="R31" s="37">
        <f t="shared" si="3"/>
        <v>92.19</v>
      </c>
      <c r="S31" s="37">
        <f t="shared" si="3"/>
        <v>89.41</v>
      </c>
      <c r="T31" s="37">
        <f t="shared" si="3"/>
        <v>82.37</v>
      </c>
      <c r="U31" s="37">
        <f t="shared" si="3"/>
        <v>92.35</v>
      </c>
    </row>
    <row r="32" spans="1:21" ht="13.95" customHeight="1" thickTop="1">
      <c r="A32" s="100"/>
      <c r="B32" s="100"/>
      <c r="C32" s="534" t="s">
        <v>581</v>
      </c>
      <c r="D32" s="534"/>
      <c r="E32" s="534"/>
      <c r="F32" s="534"/>
      <c r="G32" s="534"/>
      <c r="H32" s="200"/>
      <c r="I32" s="535" t="s">
        <v>261</v>
      </c>
      <c r="J32" s="535"/>
      <c r="K32" s="535"/>
      <c r="L32" s="535"/>
      <c r="M32" s="535"/>
      <c r="N32" s="535"/>
      <c r="O32" s="200"/>
      <c r="P32" s="535" t="s">
        <v>262</v>
      </c>
      <c r="Q32" s="535"/>
      <c r="R32" s="535"/>
      <c r="S32" s="535"/>
      <c r="T32" s="535"/>
      <c r="U32" s="535"/>
    </row>
    <row r="33" spans="1:21" ht="13.8" thickBot="1">
      <c r="A33" s="105" t="s">
        <v>659</v>
      </c>
      <c r="B33" s="105">
        <v>9.49</v>
      </c>
      <c r="C33" s="128">
        <v>34.020000000000003</v>
      </c>
      <c r="D33" s="128">
        <v>33.979999999999997</v>
      </c>
      <c r="E33" s="128">
        <v>32.049999999999997</v>
      </c>
      <c r="F33" s="128">
        <v>31.62</v>
      </c>
      <c r="G33" s="128">
        <v>32.01</v>
      </c>
      <c r="H33" s="64"/>
      <c r="I33" s="37">
        <f t="shared" ref="I33:N33" si="4">ROUND(B33*1.43,2)</f>
        <v>13.57</v>
      </c>
      <c r="J33" s="37">
        <f t="shared" si="4"/>
        <v>48.65</v>
      </c>
      <c r="K33" s="37">
        <f t="shared" si="4"/>
        <v>48.59</v>
      </c>
      <c r="L33" s="37">
        <f t="shared" si="4"/>
        <v>45.83</v>
      </c>
      <c r="M33" s="37">
        <f t="shared" si="4"/>
        <v>45.22</v>
      </c>
      <c r="N33" s="37">
        <f t="shared" si="4"/>
        <v>45.77</v>
      </c>
      <c r="O33" s="76"/>
      <c r="P33" s="37">
        <f t="shared" ref="P33:U33" si="5">ROUND(B33*7.33,2)</f>
        <v>69.56</v>
      </c>
      <c r="Q33" s="37">
        <f t="shared" si="5"/>
        <v>249.37</v>
      </c>
      <c r="R33" s="37">
        <f t="shared" si="5"/>
        <v>249.07</v>
      </c>
      <c r="S33" s="37">
        <f t="shared" si="5"/>
        <v>234.93</v>
      </c>
      <c r="T33" s="37">
        <f t="shared" si="5"/>
        <v>231.77</v>
      </c>
      <c r="U33" s="37">
        <f t="shared" si="5"/>
        <v>234.63</v>
      </c>
    </row>
    <row r="34" spans="1:21" ht="13.95" customHeight="1" thickTop="1">
      <c r="A34" s="55"/>
      <c r="B34" s="55"/>
      <c r="C34" s="531"/>
      <c r="D34" s="531"/>
      <c r="E34" s="531"/>
      <c r="F34" s="531"/>
      <c r="G34" s="531"/>
      <c r="H34" s="94"/>
      <c r="I34" s="535" t="s">
        <v>261</v>
      </c>
      <c r="J34" s="535"/>
      <c r="K34" s="535"/>
      <c r="L34" s="535"/>
      <c r="M34" s="535"/>
      <c r="N34" s="535"/>
      <c r="O34" s="94"/>
      <c r="P34" s="535" t="s">
        <v>262</v>
      </c>
      <c r="Q34" s="535"/>
      <c r="R34" s="535"/>
      <c r="S34" s="535"/>
      <c r="T34" s="535"/>
      <c r="U34" s="535"/>
    </row>
    <row r="35" spans="1:21" ht="13.8" thickBot="1">
      <c r="A35" s="105" t="s">
        <v>580</v>
      </c>
      <c r="B35" s="87" t="s">
        <v>38</v>
      </c>
      <c r="C35" s="87" t="s">
        <v>420</v>
      </c>
      <c r="D35" s="87" t="s">
        <v>420</v>
      </c>
      <c r="E35" s="87" t="s">
        <v>420</v>
      </c>
      <c r="F35" s="87" t="s">
        <v>420</v>
      </c>
      <c r="G35" s="87" t="s">
        <v>38</v>
      </c>
      <c r="H35" s="64"/>
      <c r="I35" s="183">
        <f t="shared" ref="I35:N35" si="6">SUM(I29,I31,I33)</f>
        <v>670.49000000000012</v>
      </c>
      <c r="J35" s="183">
        <f t="shared" si="6"/>
        <v>706.48</v>
      </c>
      <c r="K35" s="183">
        <f t="shared" si="6"/>
        <v>697.74</v>
      </c>
      <c r="L35" s="183">
        <f t="shared" si="6"/>
        <v>695.85</v>
      </c>
      <c r="M35" s="183">
        <f t="shared" si="6"/>
        <v>592.21</v>
      </c>
      <c r="N35" s="183">
        <f t="shared" si="6"/>
        <v>648.81999999999994</v>
      </c>
      <c r="O35" s="210"/>
      <c r="P35" s="211">
        <f t="shared" ref="P35:U35" si="7">SUM(P29,P31,P33)</f>
        <v>3432.58</v>
      </c>
      <c r="Q35" s="211">
        <f t="shared" si="7"/>
        <v>3616.9300000000003</v>
      </c>
      <c r="R35" s="211">
        <f t="shared" si="7"/>
        <v>3572.2200000000003</v>
      </c>
      <c r="S35" s="211">
        <f t="shared" si="7"/>
        <v>3562.2499999999995</v>
      </c>
      <c r="T35" s="211">
        <f t="shared" si="7"/>
        <v>3032.49</v>
      </c>
      <c r="U35" s="211">
        <f t="shared" si="7"/>
        <v>3322.58</v>
      </c>
    </row>
    <row r="36" spans="1:21" ht="13.8" thickTop="1">
      <c r="A36" s="28"/>
      <c r="B36" s="28"/>
      <c r="C36" s="28"/>
      <c r="D36" s="28"/>
      <c r="E36" s="28"/>
      <c r="F36" s="28"/>
      <c r="G36" s="28"/>
      <c r="H36" s="29"/>
      <c r="I36" s="28"/>
      <c r="J36" s="28"/>
      <c r="K36" s="28"/>
      <c r="L36" s="28"/>
      <c r="M36" s="28"/>
      <c r="N36" s="28"/>
      <c r="O36" s="29"/>
      <c r="P36" s="28"/>
      <c r="Q36" s="28"/>
      <c r="R36" s="28"/>
      <c r="S36" s="28"/>
      <c r="T36" s="28"/>
      <c r="U36" s="28"/>
    </row>
    <row r="37" spans="1:21">
      <c r="A37" s="487" t="s">
        <v>776</v>
      </c>
      <c r="B37" s="487"/>
      <c r="C37" s="487"/>
      <c r="D37" s="487"/>
      <c r="E37" s="487"/>
      <c r="F37" s="487"/>
      <c r="G37" s="487"/>
      <c r="H37" s="487"/>
    </row>
  </sheetData>
  <sheetProtection password="CAF1" sheet="1" formatCells="0" formatColumns="0" formatRows="0" insertColumns="0" insertRows="0" insertHyperlinks="0" deleteColumns="0" deleteRows="0" sort="0" autoFilter="0" pivotTables="0"/>
  <mergeCells count="30">
    <mergeCell ref="C2:F2"/>
    <mergeCell ref="I2:M2"/>
    <mergeCell ref="P2:T2"/>
    <mergeCell ref="C4:F4"/>
    <mergeCell ref="I4:M4"/>
    <mergeCell ref="P4:T4"/>
    <mergeCell ref="P26:U26"/>
    <mergeCell ref="I26:N26"/>
    <mergeCell ref="C26:G26"/>
    <mergeCell ref="C6:F6"/>
    <mergeCell ref="I10:M10"/>
    <mergeCell ref="P10:T10"/>
    <mergeCell ref="I6:M6"/>
    <mergeCell ref="P6:T6"/>
    <mergeCell ref="C8:F8"/>
    <mergeCell ref="I8:M8"/>
    <mergeCell ref="P8:T8"/>
    <mergeCell ref="P28:U28"/>
    <mergeCell ref="P30:U30"/>
    <mergeCell ref="P32:U32"/>
    <mergeCell ref="P34:U34"/>
    <mergeCell ref="I28:N28"/>
    <mergeCell ref="I30:N30"/>
    <mergeCell ref="I32:N32"/>
    <mergeCell ref="I34:N34"/>
    <mergeCell ref="A37:H37"/>
    <mergeCell ref="C34:G34"/>
    <mergeCell ref="C30:G30"/>
    <mergeCell ref="C28:G28"/>
    <mergeCell ref="C32:G32"/>
  </mergeCells>
  <phoneticPr fontId="27" type="noConversion"/>
  <hyperlinks>
    <hyperlink ref="A37:H37" location="Титул!A1" display="Вернуться к Содержанию"/>
  </hyperlinks>
  <printOptions horizontalCentered="1"/>
  <pageMargins left="0.25" right="0.25" top="0.75" bottom="0.75" header="0.3" footer="0.3"/>
  <pageSetup paperSize="9" firstPageNumber="16" orientation="landscape" useFirstPageNumber="1" r:id="rId1"/>
  <headerFooter alignWithMargins="0">
    <oddHeader>&amp;L&amp;"Times New Roman,полужирный"Газпром в цифрах 2006-2010 гг.&amp;R&amp;"Times New Roman,полужирный"Справочник</oddHeader>
    <oddFooter>&amp;C&amp;P</oddFooter>
  </headerFooter>
  <drawing r:id="rId2"/>
</worksheet>
</file>

<file path=xl/worksheets/sheet13.xml><?xml version="1.0" encoding="utf-8"?>
<worksheet xmlns="http://schemas.openxmlformats.org/spreadsheetml/2006/main" xmlns:r="http://schemas.openxmlformats.org/officeDocument/2006/relationships">
  <sheetPr codeName="Лист13"/>
  <dimension ref="A1:U42"/>
  <sheetViews>
    <sheetView zoomScaleNormal="100" zoomScaleSheetLayoutView="100" workbookViewId="0"/>
  </sheetViews>
  <sheetFormatPr defaultColWidth="0" defaultRowHeight="13.2" zeroHeight="1" outlineLevelCol="1"/>
  <cols>
    <col min="1" max="1" width="33" style="2" customWidth="1"/>
    <col min="2" max="2" width="7.33203125" style="2" hidden="1" customWidth="1" outlineLevel="1"/>
    <col min="3" max="3" width="7.33203125" style="2" customWidth="1" collapsed="1"/>
    <col min="4" max="7" width="7.33203125" style="2" customWidth="1"/>
    <col min="8" max="8" width="1.33203125" style="4" customWidth="1"/>
    <col min="9" max="9" width="7.6640625" style="2" hidden="1" customWidth="1" outlineLevel="1"/>
    <col min="10" max="10" width="7.33203125" style="2" customWidth="1" collapsed="1"/>
    <col min="11" max="14" width="7.33203125" style="2" customWidth="1"/>
    <col min="15" max="15" width="1.33203125" style="4" customWidth="1"/>
    <col min="16" max="16" width="7.33203125" style="2" hidden="1" customWidth="1" outlineLevel="1"/>
    <col min="17" max="17" width="7.33203125" style="2" customWidth="1" collapsed="1"/>
    <col min="18" max="21" width="7.33203125" style="2" customWidth="1"/>
    <col min="22" max="16384" width="0" style="2" hidden="1"/>
  </cols>
  <sheetData>
    <row r="1" spans="1:21" ht="15.6">
      <c r="A1" s="51" t="s">
        <v>377</v>
      </c>
      <c r="B1" s="28"/>
      <c r="C1" s="28"/>
      <c r="D1" s="28"/>
      <c r="E1" s="28"/>
      <c r="F1" s="28"/>
      <c r="G1" s="28"/>
      <c r="H1" s="29"/>
      <c r="I1" s="28"/>
      <c r="J1" s="28"/>
      <c r="K1" s="28"/>
      <c r="L1" s="28"/>
      <c r="M1" s="28"/>
      <c r="N1" s="28"/>
      <c r="O1" s="29"/>
      <c r="P1" s="28"/>
      <c r="Q1" s="28"/>
      <c r="R1" s="28"/>
      <c r="S1" s="28"/>
      <c r="T1" s="28"/>
      <c r="U1" s="28"/>
    </row>
    <row r="2" spans="1:21" ht="12.75" customHeight="1">
      <c r="A2" s="212"/>
      <c r="B2" s="488" t="s">
        <v>656</v>
      </c>
      <c r="C2" s="488"/>
      <c r="D2" s="488"/>
      <c r="E2" s="488"/>
      <c r="F2" s="488"/>
      <c r="G2" s="488"/>
      <c r="H2" s="31"/>
      <c r="I2" s="488" t="s">
        <v>656</v>
      </c>
      <c r="J2" s="488"/>
      <c r="K2" s="488"/>
      <c r="L2" s="488"/>
      <c r="M2" s="488"/>
      <c r="N2" s="488"/>
      <c r="O2" s="31"/>
      <c r="P2" s="488" t="s">
        <v>656</v>
      </c>
      <c r="Q2" s="488"/>
      <c r="R2" s="488"/>
      <c r="S2" s="488"/>
      <c r="T2" s="488"/>
      <c r="U2" s="488"/>
    </row>
    <row r="3" spans="1:21">
      <c r="A3" s="212"/>
      <c r="B3" s="32">
        <v>2005</v>
      </c>
      <c r="C3" s="32">
        <v>2006</v>
      </c>
      <c r="D3" s="32">
        <v>2007</v>
      </c>
      <c r="E3" s="32">
        <v>2008</v>
      </c>
      <c r="F3" s="137">
        <v>2009</v>
      </c>
      <c r="G3" s="137">
        <v>2010</v>
      </c>
      <c r="H3" s="33"/>
      <c r="I3" s="32">
        <v>2005</v>
      </c>
      <c r="J3" s="32">
        <v>2006</v>
      </c>
      <c r="K3" s="32">
        <v>2007</v>
      </c>
      <c r="L3" s="32">
        <v>2008</v>
      </c>
      <c r="M3" s="32">
        <v>2009</v>
      </c>
      <c r="N3" s="32">
        <v>2010</v>
      </c>
      <c r="O3" s="33"/>
      <c r="P3" s="32">
        <v>2005</v>
      </c>
      <c r="Q3" s="32">
        <v>2006</v>
      </c>
      <c r="R3" s="32">
        <v>2007</v>
      </c>
      <c r="S3" s="32">
        <v>2008</v>
      </c>
      <c r="T3" s="32">
        <v>2009</v>
      </c>
      <c r="U3" s="32">
        <v>2010</v>
      </c>
    </row>
    <row r="4" spans="1:21" ht="9.75" customHeight="1">
      <c r="A4" s="213"/>
      <c r="B4" s="488" t="s">
        <v>495</v>
      </c>
      <c r="C4" s="488"/>
      <c r="D4" s="488"/>
      <c r="E4" s="488"/>
      <c r="F4" s="488"/>
      <c r="G4" s="488"/>
      <c r="H4" s="31"/>
      <c r="I4" s="488" t="s">
        <v>528</v>
      </c>
      <c r="J4" s="488"/>
      <c r="K4" s="488"/>
      <c r="L4" s="488"/>
      <c r="M4" s="488"/>
      <c r="N4" s="488"/>
      <c r="O4" s="31"/>
      <c r="P4" s="488" t="s">
        <v>567</v>
      </c>
      <c r="Q4" s="488"/>
      <c r="R4" s="488"/>
      <c r="S4" s="488"/>
      <c r="T4" s="488"/>
      <c r="U4" s="488"/>
    </row>
    <row r="5" spans="1:21" ht="36" customHeight="1">
      <c r="A5" s="100" t="s">
        <v>27</v>
      </c>
      <c r="B5" s="84"/>
      <c r="C5" s="84"/>
      <c r="D5" s="84"/>
      <c r="E5" s="84"/>
      <c r="F5" s="84"/>
      <c r="G5" s="84"/>
      <c r="H5" s="94"/>
      <c r="I5" s="84"/>
      <c r="J5" s="84"/>
      <c r="K5" s="84"/>
      <c r="L5" s="84"/>
      <c r="M5" s="84"/>
      <c r="N5" s="84"/>
      <c r="O5" s="94"/>
      <c r="P5" s="84"/>
      <c r="Q5" s="84"/>
      <c r="R5" s="84"/>
      <c r="S5" s="84"/>
      <c r="T5" s="84"/>
      <c r="U5" s="84"/>
    </row>
    <row r="6" spans="1:21">
      <c r="A6" s="59" t="s">
        <v>58</v>
      </c>
      <c r="B6" s="67">
        <v>144.22999999999999</v>
      </c>
      <c r="C6" s="67">
        <v>144.27000000000001</v>
      </c>
      <c r="D6" s="67">
        <v>143.79</v>
      </c>
      <c r="E6" s="67">
        <v>143.84</v>
      </c>
      <c r="F6" s="67">
        <v>114.98</v>
      </c>
      <c r="G6" s="67">
        <v>132.69999999999999</v>
      </c>
      <c r="H6" s="57"/>
      <c r="I6" s="67">
        <f t="shared" ref="I6:N10" si="0">ROUND(B6*1.154,2)</f>
        <v>166.44</v>
      </c>
      <c r="J6" s="67">
        <f t="shared" si="0"/>
        <v>166.49</v>
      </c>
      <c r="K6" s="67">
        <f t="shared" si="0"/>
        <v>165.93</v>
      </c>
      <c r="L6" s="67">
        <f t="shared" si="0"/>
        <v>165.99</v>
      </c>
      <c r="M6" s="67">
        <f t="shared" si="0"/>
        <v>132.69</v>
      </c>
      <c r="N6" s="67">
        <f t="shared" si="0"/>
        <v>153.13999999999999</v>
      </c>
      <c r="O6" s="214"/>
      <c r="P6" s="67">
        <f t="shared" ref="P6:U7" si="1">ROUND(B6*5.89,2)</f>
        <v>849.51</v>
      </c>
      <c r="Q6" s="67">
        <f t="shared" si="1"/>
        <v>849.75</v>
      </c>
      <c r="R6" s="67">
        <f t="shared" si="1"/>
        <v>846.92</v>
      </c>
      <c r="S6" s="67">
        <f t="shared" si="1"/>
        <v>847.22</v>
      </c>
      <c r="T6" s="67">
        <f t="shared" si="1"/>
        <v>677.23</v>
      </c>
      <c r="U6" s="67">
        <f>ROUNDUP(G6*5.89,2)</f>
        <v>781.61</v>
      </c>
    </row>
    <row r="7" spans="1:21">
      <c r="A7" s="59" t="s">
        <v>59</v>
      </c>
      <c r="B7" s="67">
        <v>130.5</v>
      </c>
      <c r="C7" s="67">
        <v>129.94</v>
      </c>
      <c r="D7" s="67">
        <v>128.61000000000001</v>
      </c>
      <c r="E7" s="67">
        <v>130.69999999999999</v>
      </c>
      <c r="F7" s="67">
        <v>84.91</v>
      </c>
      <c r="G7" s="67">
        <v>107.69</v>
      </c>
      <c r="H7" s="57"/>
      <c r="I7" s="67">
        <f t="shared" si="0"/>
        <v>150.6</v>
      </c>
      <c r="J7" s="67">
        <f t="shared" si="0"/>
        <v>149.94999999999999</v>
      </c>
      <c r="K7" s="67">
        <f t="shared" si="0"/>
        <v>148.41999999999999</v>
      </c>
      <c r="L7" s="67">
        <f t="shared" si="0"/>
        <v>150.83000000000001</v>
      </c>
      <c r="M7" s="67">
        <f t="shared" si="0"/>
        <v>97.99</v>
      </c>
      <c r="N7" s="67">
        <f t="shared" si="0"/>
        <v>124.27</v>
      </c>
      <c r="O7" s="214"/>
      <c r="P7" s="67">
        <f t="shared" si="1"/>
        <v>768.65</v>
      </c>
      <c r="Q7" s="67">
        <f t="shared" si="1"/>
        <v>765.35</v>
      </c>
      <c r="R7" s="67">
        <f t="shared" si="1"/>
        <v>757.51</v>
      </c>
      <c r="S7" s="67">
        <f t="shared" si="1"/>
        <v>769.82</v>
      </c>
      <c r="T7" s="67">
        <f t="shared" si="1"/>
        <v>500.12</v>
      </c>
      <c r="U7" s="67">
        <f t="shared" si="1"/>
        <v>634.29</v>
      </c>
    </row>
    <row r="8" spans="1:21">
      <c r="A8" s="59" t="s">
        <v>60</v>
      </c>
      <c r="B8" s="67">
        <v>120.29</v>
      </c>
      <c r="C8" s="67">
        <v>123.18</v>
      </c>
      <c r="D8" s="67">
        <v>117.13</v>
      </c>
      <c r="E8" s="67">
        <v>114.42</v>
      </c>
      <c r="F8" s="67">
        <v>93.73</v>
      </c>
      <c r="G8" s="67">
        <v>93.9</v>
      </c>
      <c r="H8" s="57"/>
      <c r="I8" s="67">
        <f t="shared" si="0"/>
        <v>138.81</v>
      </c>
      <c r="J8" s="67">
        <f t="shared" si="0"/>
        <v>142.15</v>
      </c>
      <c r="K8" s="67">
        <f t="shared" si="0"/>
        <v>135.16999999999999</v>
      </c>
      <c r="L8" s="67">
        <f t="shared" si="0"/>
        <v>132.04</v>
      </c>
      <c r="M8" s="67">
        <f t="shared" si="0"/>
        <v>108.16</v>
      </c>
      <c r="N8" s="67">
        <f t="shared" si="0"/>
        <v>108.36</v>
      </c>
      <c r="O8" s="214"/>
      <c r="P8" s="67">
        <f t="shared" ref="P8:R10" si="2">ROUND(B8*5.89,2)</f>
        <v>708.51</v>
      </c>
      <c r="Q8" s="67">
        <f t="shared" si="2"/>
        <v>725.53</v>
      </c>
      <c r="R8" s="67">
        <f t="shared" si="2"/>
        <v>689.9</v>
      </c>
      <c r="S8" s="67">
        <f>ROUNDUP(E8*5.89,2)</f>
        <v>673.93999999999994</v>
      </c>
      <c r="T8" s="67">
        <f>ROUND(F8*5.89,2)</f>
        <v>552.07000000000005</v>
      </c>
      <c r="U8" s="67">
        <f>ROUND(G8*5.89,2)</f>
        <v>553.07000000000005</v>
      </c>
    </row>
    <row r="9" spans="1:21">
      <c r="A9" s="59" t="s">
        <v>61</v>
      </c>
      <c r="B9" s="67">
        <v>144.33000000000001</v>
      </c>
      <c r="C9" s="67">
        <v>141.44999999999999</v>
      </c>
      <c r="D9" s="67">
        <v>140.97999999999999</v>
      </c>
      <c r="E9" s="67">
        <v>128.66999999999999</v>
      </c>
      <c r="F9" s="67">
        <v>131.4</v>
      </c>
      <c r="G9" s="67">
        <v>130.85</v>
      </c>
      <c r="H9" s="57"/>
      <c r="I9" s="67">
        <f t="shared" ref="I9:L10" si="3">ROUND(B9*1.154,2)</f>
        <v>166.56</v>
      </c>
      <c r="J9" s="67">
        <f t="shared" si="3"/>
        <v>163.22999999999999</v>
      </c>
      <c r="K9" s="67">
        <f t="shared" si="3"/>
        <v>162.69</v>
      </c>
      <c r="L9" s="67">
        <f t="shared" si="3"/>
        <v>148.49</v>
      </c>
      <c r="M9" s="67">
        <f>ROUNDDOWN(F9*1.154,2)</f>
        <v>151.63</v>
      </c>
      <c r="N9" s="67">
        <f t="shared" si="0"/>
        <v>151</v>
      </c>
      <c r="O9" s="214"/>
      <c r="P9" s="67">
        <f t="shared" si="2"/>
        <v>850.1</v>
      </c>
      <c r="Q9" s="67">
        <f t="shared" si="2"/>
        <v>833.14</v>
      </c>
      <c r="R9" s="67">
        <f t="shared" si="2"/>
        <v>830.37</v>
      </c>
      <c r="S9" s="67">
        <f>ROUND(E9*5.89,2)</f>
        <v>757.87</v>
      </c>
      <c r="T9" s="67">
        <f>ROUND(F9*5.89,2)</f>
        <v>773.95</v>
      </c>
      <c r="U9" s="67">
        <f>ROUND(G9*5.89,2)</f>
        <v>770.71</v>
      </c>
    </row>
    <row r="10" spans="1:21" ht="13.8" thickBot="1">
      <c r="A10" s="215" t="s">
        <v>62</v>
      </c>
      <c r="B10" s="216">
        <v>539.35</v>
      </c>
      <c r="C10" s="216">
        <v>538.84</v>
      </c>
      <c r="D10" s="216">
        <v>530.51</v>
      </c>
      <c r="E10" s="216">
        <v>517.63</v>
      </c>
      <c r="F10" s="216">
        <v>425.02</v>
      </c>
      <c r="G10" s="216">
        <v>465.14</v>
      </c>
      <c r="H10" s="54"/>
      <c r="I10" s="216">
        <f t="shared" si="3"/>
        <v>622.41</v>
      </c>
      <c r="J10" s="216">
        <f t="shared" si="3"/>
        <v>621.82000000000005</v>
      </c>
      <c r="K10" s="216">
        <f t="shared" si="3"/>
        <v>612.21</v>
      </c>
      <c r="L10" s="216">
        <f t="shared" si="3"/>
        <v>597.35</v>
      </c>
      <c r="M10" s="216">
        <f>ROUND(F10*1.154,2)</f>
        <v>490.47</v>
      </c>
      <c r="N10" s="216">
        <f t="shared" si="0"/>
        <v>536.77</v>
      </c>
      <c r="O10" s="217"/>
      <c r="P10" s="216">
        <f t="shared" si="2"/>
        <v>3176.77</v>
      </c>
      <c r="Q10" s="216">
        <f t="shared" si="2"/>
        <v>3173.77</v>
      </c>
      <c r="R10" s="216">
        <f t="shared" si="2"/>
        <v>3124.7</v>
      </c>
      <c r="S10" s="216">
        <f>ROUNDUP(E10*5.89,2)</f>
        <v>3048.8500000000004</v>
      </c>
      <c r="T10" s="216">
        <f>ROUND(F10*5.89,2)</f>
        <v>2503.37</v>
      </c>
      <c r="U10" s="216">
        <f>ROUNDUP(G10*5.89,2)</f>
        <v>2739.6800000000003</v>
      </c>
    </row>
    <row r="11" spans="1:21" ht="27.6" customHeight="1">
      <c r="A11" s="100" t="s">
        <v>24</v>
      </c>
      <c r="B11" s="56"/>
      <c r="C11" s="56"/>
      <c r="D11" s="56"/>
      <c r="E11" s="56"/>
      <c r="F11" s="56"/>
      <c r="G11" s="56"/>
      <c r="H11" s="57"/>
      <c r="I11" s="56"/>
      <c r="J11" s="56"/>
      <c r="K11" s="56"/>
      <c r="L11" s="56"/>
      <c r="M11" s="56"/>
      <c r="N11" s="56"/>
      <c r="O11" s="57"/>
      <c r="P11" s="56"/>
      <c r="Q11" s="56"/>
      <c r="R11" s="56"/>
      <c r="S11" s="56"/>
      <c r="T11" s="56"/>
      <c r="U11" s="56"/>
    </row>
    <row r="12" spans="1:21">
      <c r="A12" s="59" t="s">
        <v>58</v>
      </c>
      <c r="B12" s="67">
        <v>0</v>
      </c>
      <c r="C12" s="67">
        <v>0.54</v>
      </c>
      <c r="D12" s="67">
        <v>0.41</v>
      </c>
      <c r="E12" s="67">
        <v>0.52</v>
      </c>
      <c r="F12" s="67">
        <v>0.56000000000000005</v>
      </c>
      <c r="G12" s="67">
        <v>0.62</v>
      </c>
      <c r="H12" s="214"/>
      <c r="I12" s="67">
        <f t="shared" ref="I12:N16" si="4">ROUND(B12*1.154,2)</f>
        <v>0</v>
      </c>
      <c r="J12" s="67">
        <f t="shared" si="4"/>
        <v>0.62</v>
      </c>
      <c r="K12" s="67">
        <f t="shared" si="4"/>
        <v>0.47</v>
      </c>
      <c r="L12" s="67">
        <f t="shared" si="4"/>
        <v>0.6</v>
      </c>
      <c r="M12" s="67">
        <f t="shared" si="4"/>
        <v>0.65</v>
      </c>
      <c r="N12" s="67">
        <f t="shared" si="4"/>
        <v>0.72</v>
      </c>
      <c r="O12" s="214"/>
      <c r="P12" s="67">
        <f t="shared" ref="P12:Q16" si="5">ROUND(B12*5.89,2)</f>
        <v>0</v>
      </c>
      <c r="Q12" s="67">
        <f t="shared" si="5"/>
        <v>3.18</v>
      </c>
      <c r="R12" s="67">
        <f>ROUNDUP(D12*5.89,2)</f>
        <v>2.42</v>
      </c>
      <c r="S12" s="67">
        <f t="shared" ref="S12:U16" si="6">ROUND(E12*5.89,2)</f>
        <v>3.06</v>
      </c>
      <c r="T12" s="67">
        <f t="shared" si="6"/>
        <v>3.3</v>
      </c>
      <c r="U12" s="67">
        <f t="shared" si="6"/>
        <v>3.65</v>
      </c>
    </row>
    <row r="13" spans="1:21">
      <c r="A13" s="59" t="s">
        <v>59</v>
      </c>
      <c r="B13" s="67">
        <v>0</v>
      </c>
      <c r="C13" s="67">
        <v>0.51</v>
      </c>
      <c r="D13" s="67">
        <v>0.44</v>
      </c>
      <c r="E13" s="67">
        <v>0.54</v>
      </c>
      <c r="F13" s="67">
        <v>0.46</v>
      </c>
      <c r="G13" s="67">
        <v>0.61</v>
      </c>
      <c r="H13" s="214"/>
      <c r="I13" s="67">
        <f t="shared" si="4"/>
        <v>0</v>
      </c>
      <c r="J13" s="67">
        <f t="shared" si="4"/>
        <v>0.59</v>
      </c>
      <c r="K13" s="67">
        <f t="shared" si="4"/>
        <v>0.51</v>
      </c>
      <c r="L13" s="67">
        <f t="shared" si="4"/>
        <v>0.62</v>
      </c>
      <c r="M13" s="67">
        <f t="shared" si="4"/>
        <v>0.53</v>
      </c>
      <c r="N13" s="67">
        <f t="shared" si="4"/>
        <v>0.7</v>
      </c>
      <c r="O13" s="214"/>
      <c r="P13" s="67">
        <f t="shared" si="5"/>
        <v>0</v>
      </c>
      <c r="Q13" s="67">
        <f t="shared" si="5"/>
        <v>3</v>
      </c>
      <c r="R13" s="67">
        <f>ROUND(D13*5.89,2)</f>
        <v>2.59</v>
      </c>
      <c r="S13" s="67">
        <f t="shared" si="6"/>
        <v>3.18</v>
      </c>
      <c r="T13" s="67">
        <f t="shared" si="6"/>
        <v>2.71</v>
      </c>
      <c r="U13" s="67">
        <f t="shared" si="6"/>
        <v>3.59</v>
      </c>
    </row>
    <row r="14" spans="1:21">
      <c r="A14" s="59" t="s">
        <v>60</v>
      </c>
      <c r="B14" s="67">
        <v>0</v>
      </c>
      <c r="C14" s="67">
        <v>0.46</v>
      </c>
      <c r="D14" s="67">
        <v>0.44</v>
      </c>
      <c r="E14" s="67">
        <v>0.5</v>
      </c>
      <c r="F14" s="67">
        <v>0.46</v>
      </c>
      <c r="G14" s="67">
        <v>0.56999999999999995</v>
      </c>
      <c r="H14" s="214"/>
      <c r="I14" s="67">
        <f t="shared" si="4"/>
        <v>0</v>
      </c>
      <c r="J14" s="67">
        <f t="shared" si="4"/>
        <v>0.53</v>
      </c>
      <c r="K14" s="67">
        <f t="shared" si="4"/>
        <v>0.51</v>
      </c>
      <c r="L14" s="67">
        <f t="shared" si="4"/>
        <v>0.57999999999999996</v>
      </c>
      <c r="M14" s="67">
        <f t="shared" si="4"/>
        <v>0.53</v>
      </c>
      <c r="N14" s="67">
        <f t="shared" si="4"/>
        <v>0.66</v>
      </c>
      <c r="O14" s="214"/>
      <c r="P14" s="67">
        <f t="shared" si="5"/>
        <v>0</v>
      </c>
      <c r="Q14" s="67">
        <f t="shared" si="5"/>
        <v>2.71</v>
      </c>
      <c r="R14" s="67">
        <f>ROUND(D14*5.89,2)</f>
        <v>2.59</v>
      </c>
      <c r="S14" s="67">
        <f t="shared" si="6"/>
        <v>2.95</v>
      </c>
      <c r="T14" s="67">
        <f t="shared" si="6"/>
        <v>2.71</v>
      </c>
      <c r="U14" s="67">
        <f t="shared" si="6"/>
        <v>3.36</v>
      </c>
    </row>
    <row r="15" spans="1:21">
      <c r="A15" s="59" t="s">
        <v>61</v>
      </c>
      <c r="B15" s="67">
        <v>0.55000000000000004</v>
      </c>
      <c r="C15" s="67">
        <v>0.56000000000000005</v>
      </c>
      <c r="D15" s="67">
        <v>0.48</v>
      </c>
      <c r="E15" s="67">
        <v>0.6</v>
      </c>
      <c r="F15" s="67">
        <v>0.6</v>
      </c>
      <c r="G15" s="67">
        <v>1.1499999999999999</v>
      </c>
      <c r="H15" s="214"/>
      <c r="I15" s="67">
        <f t="shared" si="4"/>
        <v>0.63</v>
      </c>
      <c r="J15" s="67">
        <f t="shared" si="4"/>
        <v>0.65</v>
      </c>
      <c r="K15" s="67">
        <f t="shared" si="4"/>
        <v>0.55000000000000004</v>
      </c>
      <c r="L15" s="67">
        <f t="shared" si="4"/>
        <v>0.69</v>
      </c>
      <c r="M15" s="67">
        <f t="shared" si="4"/>
        <v>0.69</v>
      </c>
      <c r="N15" s="67">
        <f>ROUNDDOWN(G15*1.154,2)</f>
        <v>1.32</v>
      </c>
      <c r="O15" s="214"/>
      <c r="P15" s="67">
        <f t="shared" si="5"/>
        <v>3.24</v>
      </c>
      <c r="Q15" s="67">
        <f t="shared" si="5"/>
        <v>3.3</v>
      </c>
      <c r="R15" s="67">
        <f>ROUND(D15*5.89,2)</f>
        <v>2.83</v>
      </c>
      <c r="S15" s="67">
        <f t="shared" si="6"/>
        <v>3.53</v>
      </c>
      <c r="T15" s="67">
        <f t="shared" si="6"/>
        <v>3.53</v>
      </c>
      <c r="U15" s="67">
        <f>ROUNDUP(G15*5.89,2)</f>
        <v>6.7799999999999994</v>
      </c>
    </row>
    <row r="16" spans="1:21" ht="13.8" thickBot="1">
      <c r="A16" s="215" t="s">
        <v>62</v>
      </c>
      <c r="B16" s="216">
        <v>0.55000000000000004</v>
      </c>
      <c r="C16" s="216">
        <v>2.0699999999999998</v>
      </c>
      <c r="D16" s="216">
        <v>1.77</v>
      </c>
      <c r="E16" s="216">
        <v>2.16</v>
      </c>
      <c r="F16" s="216">
        <v>2.08</v>
      </c>
      <c r="G16" s="216">
        <v>2.95</v>
      </c>
      <c r="H16" s="217"/>
      <c r="I16" s="216">
        <f t="shared" si="4"/>
        <v>0.63</v>
      </c>
      <c r="J16" s="216">
        <f t="shared" si="4"/>
        <v>2.39</v>
      </c>
      <c r="K16" s="216">
        <f t="shared" si="4"/>
        <v>2.04</v>
      </c>
      <c r="L16" s="216">
        <f t="shared" si="4"/>
        <v>2.4900000000000002</v>
      </c>
      <c r="M16" s="216">
        <f t="shared" si="4"/>
        <v>2.4</v>
      </c>
      <c r="N16" s="216">
        <f t="shared" si="4"/>
        <v>3.4</v>
      </c>
      <c r="O16" s="217"/>
      <c r="P16" s="216">
        <f t="shared" si="5"/>
        <v>3.24</v>
      </c>
      <c r="Q16" s="216">
        <f t="shared" si="5"/>
        <v>12.19</v>
      </c>
      <c r="R16" s="216">
        <f>ROUND(D16*5.89,2)</f>
        <v>10.43</v>
      </c>
      <c r="S16" s="216">
        <f t="shared" si="6"/>
        <v>12.72</v>
      </c>
      <c r="T16" s="216">
        <f t="shared" si="6"/>
        <v>12.25</v>
      </c>
      <c r="U16" s="216">
        <f t="shared" si="6"/>
        <v>17.38</v>
      </c>
    </row>
    <row r="17" spans="1:21">
      <c r="A17" s="100" t="s">
        <v>576</v>
      </c>
      <c r="B17" s="56"/>
      <c r="C17" s="56"/>
      <c r="D17" s="56"/>
      <c r="E17" s="56"/>
      <c r="F17" s="56"/>
      <c r="G17" s="56"/>
      <c r="H17" s="57"/>
      <c r="I17" s="56"/>
      <c r="J17" s="56"/>
      <c r="K17" s="56"/>
      <c r="L17" s="56"/>
      <c r="M17" s="56"/>
      <c r="N17" s="56"/>
      <c r="O17" s="57"/>
      <c r="P17" s="56"/>
      <c r="Q17" s="56"/>
      <c r="R17" s="56"/>
      <c r="S17" s="56"/>
      <c r="T17" s="56"/>
      <c r="U17" s="56"/>
    </row>
    <row r="18" spans="1:21">
      <c r="A18" s="59" t="s">
        <v>58</v>
      </c>
      <c r="B18" s="67">
        <v>3.86</v>
      </c>
      <c r="C18" s="67">
        <v>3.9</v>
      </c>
      <c r="D18" s="67">
        <v>3.73</v>
      </c>
      <c r="E18" s="67">
        <v>3.89</v>
      </c>
      <c r="F18" s="67">
        <v>3.28</v>
      </c>
      <c r="G18" s="67">
        <v>4.0999999999999996</v>
      </c>
      <c r="H18" s="57"/>
      <c r="I18" s="67">
        <f>ROUNDUP(B18*1.154,2)</f>
        <v>4.46</v>
      </c>
      <c r="J18" s="67">
        <f>ROUND(C18*1.154,2)</f>
        <v>4.5</v>
      </c>
      <c r="K18" s="67">
        <f>ROUNDUP(D18*1.154,2)</f>
        <v>4.3099999999999996</v>
      </c>
      <c r="L18" s="67">
        <f>ROUND(E18*1.154,2)</f>
        <v>4.49</v>
      </c>
      <c r="M18" s="67">
        <f>ROUND(F18*1.154,2)</f>
        <v>3.79</v>
      </c>
      <c r="N18" s="67">
        <f>ROUND(G18*1.154,2)</f>
        <v>4.7300000000000004</v>
      </c>
      <c r="O18" s="214"/>
      <c r="P18" s="67">
        <f>ROUNDDOWN(B18*5.89,2)</f>
        <v>22.73</v>
      </c>
      <c r="Q18" s="67">
        <f>ROUNDUP(C18*5.89,2)</f>
        <v>22.98</v>
      </c>
      <c r="R18" s="67">
        <f t="shared" ref="R18:U22" si="7">ROUND(D18*5.89,2)</f>
        <v>21.97</v>
      </c>
      <c r="S18" s="67">
        <f t="shared" si="7"/>
        <v>22.91</v>
      </c>
      <c r="T18" s="67">
        <f t="shared" si="7"/>
        <v>19.32</v>
      </c>
      <c r="U18" s="67">
        <f>ROUNDDOWN(G18*5.89,2)</f>
        <v>24.14</v>
      </c>
    </row>
    <row r="19" spans="1:21">
      <c r="A19" s="59" t="s">
        <v>59</v>
      </c>
      <c r="B19" s="67">
        <v>3.67</v>
      </c>
      <c r="C19" s="67">
        <v>3.63</v>
      </c>
      <c r="D19" s="67">
        <v>3.5</v>
      </c>
      <c r="E19" s="67">
        <v>3.64</v>
      </c>
      <c r="F19" s="67">
        <v>2.63</v>
      </c>
      <c r="G19" s="67">
        <v>3.5</v>
      </c>
      <c r="H19" s="57"/>
      <c r="I19" s="67">
        <f>ROUND(B19*1.154,2)</f>
        <v>4.24</v>
      </c>
      <c r="J19" s="67">
        <f>ROUND(C19*1.154,2)</f>
        <v>4.1900000000000004</v>
      </c>
      <c r="K19" s="67">
        <f t="shared" ref="K19:L21" si="8">ROUND(D19*1.154,2)</f>
        <v>4.04</v>
      </c>
      <c r="L19" s="67">
        <f t="shared" si="8"/>
        <v>4.2</v>
      </c>
      <c r="M19" s="67">
        <f>ROUNDDOWN(F19*1.154,2)</f>
        <v>3.03</v>
      </c>
      <c r="N19" s="67">
        <f>ROUNDDOWN(G19*1.154,2)</f>
        <v>4.03</v>
      </c>
      <c r="O19" s="214"/>
      <c r="P19" s="67">
        <f t="shared" ref="P19:Q22" si="9">ROUND(B19*5.89,2)</f>
        <v>21.62</v>
      </c>
      <c r="Q19" s="67">
        <f t="shared" si="9"/>
        <v>21.38</v>
      </c>
      <c r="R19" s="67">
        <f t="shared" si="7"/>
        <v>20.62</v>
      </c>
      <c r="S19" s="67">
        <f t="shared" si="7"/>
        <v>21.44</v>
      </c>
      <c r="T19" s="67">
        <f t="shared" si="7"/>
        <v>15.49</v>
      </c>
      <c r="U19" s="67">
        <f t="shared" si="7"/>
        <v>20.62</v>
      </c>
    </row>
    <row r="20" spans="1:21">
      <c r="A20" s="59" t="s">
        <v>60</v>
      </c>
      <c r="B20" s="67">
        <v>3.65</v>
      </c>
      <c r="C20" s="67">
        <v>3.43</v>
      </c>
      <c r="D20" s="67">
        <v>3.73</v>
      </c>
      <c r="E20" s="67">
        <v>3.73</v>
      </c>
      <c r="F20" s="67">
        <v>2.16</v>
      </c>
      <c r="G20" s="67">
        <v>3.54</v>
      </c>
      <c r="H20" s="57"/>
      <c r="I20" s="67">
        <f>ROUND(B20*1.154,2)</f>
        <v>4.21</v>
      </c>
      <c r="J20" s="67">
        <f>ROUND(C20*1.154,2)</f>
        <v>3.96</v>
      </c>
      <c r="K20" s="67">
        <f t="shared" si="8"/>
        <v>4.3</v>
      </c>
      <c r="L20" s="67">
        <f t="shared" si="8"/>
        <v>4.3</v>
      </c>
      <c r="M20" s="67">
        <f t="shared" ref="M20:N22" si="10">ROUND(F20*1.154,2)</f>
        <v>2.4900000000000002</v>
      </c>
      <c r="N20" s="67">
        <f t="shared" si="10"/>
        <v>4.09</v>
      </c>
      <c r="O20" s="214"/>
      <c r="P20" s="67">
        <f t="shared" si="9"/>
        <v>21.5</v>
      </c>
      <c r="Q20" s="67">
        <f t="shared" si="9"/>
        <v>20.2</v>
      </c>
      <c r="R20" s="67">
        <f t="shared" si="7"/>
        <v>21.97</v>
      </c>
      <c r="S20" s="67">
        <f t="shared" si="7"/>
        <v>21.97</v>
      </c>
      <c r="T20" s="67">
        <f t="shared" si="7"/>
        <v>12.72</v>
      </c>
      <c r="U20" s="67">
        <f t="shared" si="7"/>
        <v>20.85</v>
      </c>
    </row>
    <row r="21" spans="1:21">
      <c r="A21" s="59" t="s">
        <v>61</v>
      </c>
      <c r="B21" s="67">
        <v>3.92</v>
      </c>
      <c r="C21" s="67">
        <v>4.08</v>
      </c>
      <c r="D21" s="67">
        <v>4.0599999999999996</v>
      </c>
      <c r="E21" s="67">
        <v>3.61</v>
      </c>
      <c r="F21" s="67">
        <v>3.77</v>
      </c>
      <c r="G21" s="67">
        <v>4</v>
      </c>
      <c r="H21" s="57"/>
      <c r="I21" s="67">
        <f>ROUND(B21*1.154,2)</f>
        <v>4.5199999999999996</v>
      </c>
      <c r="J21" s="67">
        <f>ROUND(C21*1.154,2)</f>
        <v>4.71</v>
      </c>
      <c r="K21" s="67">
        <f t="shared" si="8"/>
        <v>4.6900000000000004</v>
      </c>
      <c r="L21" s="67">
        <f t="shared" si="8"/>
        <v>4.17</v>
      </c>
      <c r="M21" s="67">
        <f t="shared" si="10"/>
        <v>4.3499999999999996</v>
      </c>
      <c r="N21" s="67">
        <f t="shared" si="10"/>
        <v>4.62</v>
      </c>
      <c r="O21" s="214"/>
      <c r="P21" s="67">
        <f t="shared" si="9"/>
        <v>23.09</v>
      </c>
      <c r="Q21" s="67">
        <f t="shared" si="9"/>
        <v>24.03</v>
      </c>
      <c r="R21" s="67">
        <f t="shared" si="7"/>
        <v>23.91</v>
      </c>
      <c r="S21" s="67">
        <f t="shared" si="7"/>
        <v>21.26</v>
      </c>
      <c r="T21" s="67">
        <f t="shared" si="7"/>
        <v>22.21</v>
      </c>
      <c r="U21" s="67">
        <f t="shared" si="7"/>
        <v>23.56</v>
      </c>
    </row>
    <row r="22" spans="1:21" ht="13.8" thickBot="1">
      <c r="A22" s="215" t="s">
        <v>62</v>
      </c>
      <c r="B22" s="216">
        <v>15.1</v>
      </c>
      <c r="C22" s="216">
        <v>15.04</v>
      </c>
      <c r="D22" s="216">
        <v>15.02</v>
      </c>
      <c r="E22" s="216">
        <v>14.87</v>
      </c>
      <c r="F22" s="216">
        <v>11.84</v>
      </c>
      <c r="G22" s="216">
        <v>15.14</v>
      </c>
      <c r="H22" s="54"/>
      <c r="I22" s="216">
        <f>ROUND(B22*1.154,2)</f>
        <v>17.43</v>
      </c>
      <c r="J22" s="216">
        <f>ROUND(C22*1.154,2)</f>
        <v>17.36</v>
      </c>
      <c r="K22" s="216">
        <f>ROUNDUP(D22*1.154,2)</f>
        <v>17.34</v>
      </c>
      <c r="L22" s="216">
        <f>ROUND(E22*1.154,2)</f>
        <v>17.16</v>
      </c>
      <c r="M22" s="216">
        <f t="shared" si="10"/>
        <v>13.66</v>
      </c>
      <c r="N22" s="216">
        <f t="shared" si="10"/>
        <v>17.47</v>
      </c>
      <c r="O22" s="217"/>
      <c r="P22" s="216">
        <f t="shared" si="9"/>
        <v>88.94</v>
      </c>
      <c r="Q22" s="216">
        <f t="shared" si="9"/>
        <v>88.59</v>
      </c>
      <c r="R22" s="216">
        <f t="shared" si="7"/>
        <v>88.47</v>
      </c>
      <c r="S22" s="216">
        <f t="shared" si="7"/>
        <v>87.58</v>
      </c>
      <c r="T22" s="216">
        <f t="shared" si="7"/>
        <v>69.739999999999995</v>
      </c>
      <c r="U22" s="216">
        <f t="shared" si="7"/>
        <v>89.17</v>
      </c>
    </row>
    <row r="23" spans="1:21">
      <c r="A23" s="100" t="s">
        <v>63</v>
      </c>
      <c r="B23" s="56"/>
      <c r="C23" s="56"/>
      <c r="D23" s="56"/>
      <c r="E23" s="56"/>
      <c r="F23" s="56"/>
      <c r="G23" s="56"/>
      <c r="H23" s="57"/>
      <c r="I23" s="56"/>
      <c r="J23" s="56"/>
      <c r="K23" s="56"/>
      <c r="L23" s="56"/>
      <c r="M23" s="56"/>
      <c r="N23" s="56"/>
      <c r="O23" s="57"/>
      <c r="P23" s="56"/>
      <c r="Q23" s="56"/>
      <c r="R23" s="56"/>
      <c r="S23" s="56"/>
      <c r="T23" s="56"/>
      <c r="U23" s="56"/>
    </row>
    <row r="24" spans="1:21" ht="12.75" customHeight="1">
      <c r="A24" s="59" t="s">
        <v>58</v>
      </c>
      <c r="B24" s="67">
        <v>0</v>
      </c>
      <c r="C24" s="67">
        <v>0</v>
      </c>
      <c r="D24" s="67">
        <v>0</v>
      </c>
      <c r="E24" s="67">
        <v>2.84</v>
      </c>
      <c r="F24" s="67">
        <v>4.6399999999999997</v>
      </c>
      <c r="G24" s="67">
        <v>6.84</v>
      </c>
      <c r="H24" s="214"/>
      <c r="I24" s="67">
        <f t="shared" ref="I24:N26" si="11">ROUND(B24*1.154,2)</f>
        <v>0</v>
      </c>
      <c r="J24" s="67">
        <f t="shared" si="11"/>
        <v>0</v>
      </c>
      <c r="K24" s="67">
        <f t="shared" si="11"/>
        <v>0</v>
      </c>
      <c r="L24" s="67">
        <f t="shared" si="11"/>
        <v>3.28</v>
      </c>
      <c r="M24" s="67">
        <f t="shared" si="11"/>
        <v>5.35</v>
      </c>
      <c r="N24" s="67">
        <f t="shared" si="11"/>
        <v>7.89</v>
      </c>
      <c r="O24" s="214"/>
      <c r="P24" s="67">
        <f t="shared" ref="P24:U27" si="12">ROUND(B24*5.89,2)</f>
        <v>0</v>
      </c>
      <c r="Q24" s="67">
        <f t="shared" si="12"/>
        <v>0</v>
      </c>
      <c r="R24" s="67">
        <f t="shared" si="12"/>
        <v>0</v>
      </c>
      <c r="S24" s="67">
        <f t="shared" si="12"/>
        <v>16.73</v>
      </c>
      <c r="T24" s="67">
        <f t="shared" si="12"/>
        <v>27.33</v>
      </c>
      <c r="U24" s="67">
        <f t="shared" si="12"/>
        <v>40.29</v>
      </c>
    </row>
    <row r="25" spans="1:21">
      <c r="A25" s="59" t="s">
        <v>59</v>
      </c>
      <c r="B25" s="67">
        <v>0</v>
      </c>
      <c r="C25" s="67">
        <v>0</v>
      </c>
      <c r="D25" s="67">
        <v>0</v>
      </c>
      <c r="E25" s="67">
        <v>3.23</v>
      </c>
      <c r="F25" s="67">
        <v>4.91</v>
      </c>
      <c r="G25" s="67">
        <v>5.88</v>
      </c>
      <c r="H25" s="214"/>
      <c r="I25" s="67">
        <f t="shared" si="11"/>
        <v>0</v>
      </c>
      <c r="J25" s="67">
        <f t="shared" si="11"/>
        <v>0</v>
      </c>
      <c r="K25" s="67">
        <f t="shared" si="11"/>
        <v>0</v>
      </c>
      <c r="L25" s="67">
        <f t="shared" si="11"/>
        <v>3.73</v>
      </c>
      <c r="M25" s="67">
        <f t="shared" si="11"/>
        <v>5.67</v>
      </c>
      <c r="N25" s="67">
        <f t="shared" si="11"/>
        <v>6.79</v>
      </c>
      <c r="O25" s="214"/>
      <c r="P25" s="67">
        <f t="shared" si="12"/>
        <v>0</v>
      </c>
      <c r="Q25" s="67">
        <f t="shared" si="12"/>
        <v>0</v>
      </c>
      <c r="R25" s="67">
        <f t="shared" si="12"/>
        <v>0</v>
      </c>
      <c r="S25" s="67">
        <f t="shared" si="12"/>
        <v>19.02</v>
      </c>
      <c r="T25" s="67">
        <f t="shared" si="12"/>
        <v>28.92</v>
      </c>
      <c r="U25" s="67">
        <f t="shared" si="12"/>
        <v>34.630000000000003</v>
      </c>
    </row>
    <row r="26" spans="1:21">
      <c r="A26" s="59" t="s">
        <v>60</v>
      </c>
      <c r="B26" s="67">
        <v>0</v>
      </c>
      <c r="C26" s="67">
        <v>0</v>
      </c>
      <c r="D26" s="67">
        <v>0.02</v>
      </c>
      <c r="E26" s="67">
        <v>3.81</v>
      </c>
      <c r="F26" s="67">
        <v>5.98</v>
      </c>
      <c r="G26" s="67">
        <v>5.67</v>
      </c>
      <c r="H26" s="214"/>
      <c r="I26" s="67">
        <f t="shared" si="11"/>
        <v>0</v>
      </c>
      <c r="J26" s="67">
        <f t="shared" si="11"/>
        <v>0</v>
      </c>
      <c r="K26" s="67">
        <f t="shared" si="11"/>
        <v>0.02</v>
      </c>
      <c r="L26" s="67">
        <f t="shared" si="11"/>
        <v>4.4000000000000004</v>
      </c>
      <c r="M26" s="67">
        <f t="shared" si="11"/>
        <v>6.9</v>
      </c>
      <c r="N26" s="67">
        <f t="shared" si="11"/>
        <v>6.54</v>
      </c>
      <c r="O26" s="214"/>
      <c r="P26" s="67">
        <f t="shared" si="12"/>
        <v>0</v>
      </c>
      <c r="Q26" s="67">
        <f t="shared" si="12"/>
        <v>0</v>
      </c>
      <c r="R26" s="67">
        <f t="shared" si="12"/>
        <v>0.12</v>
      </c>
      <c r="S26" s="67">
        <f t="shared" si="12"/>
        <v>22.44</v>
      </c>
      <c r="T26" s="67">
        <f t="shared" si="12"/>
        <v>35.22</v>
      </c>
      <c r="U26" s="67">
        <f t="shared" si="12"/>
        <v>33.4</v>
      </c>
    </row>
    <row r="27" spans="1:21">
      <c r="A27" s="59" t="s">
        <v>61</v>
      </c>
      <c r="B27" s="67">
        <v>0</v>
      </c>
      <c r="C27" s="67">
        <v>0</v>
      </c>
      <c r="D27" s="67">
        <v>1.23</v>
      </c>
      <c r="E27" s="67">
        <v>5.19</v>
      </c>
      <c r="F27" s="67">
        <v>7.05</v>
      </c>
      <c r="G27" s="67">
        <v>6.97</v>
      </c>
      <c r="H27" s="214"/>
      <c r="I27" s="67">
        <f t="shared" ref="I27:K28" si="13">ROUND(B27*1.154,2)</f>
        <v>0</v>
      </c>
      <c r="J27" s="67">
        <f t="shared" si="13"/>
        <v>0</v>
      </c>
      <c r="K27" s="67">
        <f t="shared" si="13"/>
        <v>1.42</v>
      </c>
      <c r="L27" s="67">
        <f>ROUNDDOWN(E27*1.154,2)</f>
        <v>5.98</v>
      </c>
      <c r="M27" s="67">
        <f>ROUND(F27*1.154,2)</f>
        <v>8.14</v>
      </c>
      <c r="N27" s="67">
        <f>ROUNDUP(G27*1.154,2)</f>
        <v>8.0499999999999989</v>
      </c>
      <c r="O27" s="214"/>
      <c r="P27" s="67">
        <f t="shared" si="12"/>
        <v>0</v>
      </c>
      <c r="Q27" s="67">
        <f t="shared" si="12"/>
        <v>0</v>
      </c>
      <c r="R27" s="67">
        <f t="shared" si="12"/>
        <v>7.24</v>
      </c>
      <c r="S27" s="67">
        <f t="shared" si="12"/>
        <v>30.57</v>
      </c>
      <c r="T27" s="67">
        <f t="shared" si="12"/>
        <v>41.52</v>
      </c>
      <c r="U27" s="67">
        <f t="shared" si="12"/>
        <v>41.05</v>
      </c>
    </row>
    <row r="28" spans="1:21" ht="13.8" thickBot="1">
      <c r="A28" s="215" t="s">
        <v>62</v>
      </c>
      <c r="B28" s="216">
        <v>0</v>
      </c>
      <c r="C28" s="216">
        <v>0</v>
      </c>
      <c r="D28" s="216">
        <v>1.25</v>
      </c>
      <c r="E28" s="216">
        <v>15.07</v>
      </c>
      <c r="F28" s="216">
        <v>22.58</v>
      </c>
      <c r="G28" s="216">
        <v>25.36</v>
      </c>
      <c r="H28" s="217"/>
      <c r="I28" s="216">
        <f t="shared" si="13"/>
        <v>0</v>
      </c>
      <c r="J28" s="216">
        <f t="shared" si="13"/>
        <v>0</v>
      </c>
      <c r="K28" s="216">
        <f t="shared" si="13"/>
        <v>1.44</v>
      </c>
      <c r="L28" s="216">
        <f>ROUNDDOWN(E28*1.154,2)</f>
        <v>17.39</v>
      </c>
      <c r="M28" s="216">
        <f>ROUND(F28*1.154,2)</f>
        <v>26.06</v>
      </c>
      <c r="N28" s="216">
        <f>ROUND(G28*1.154,2)</f>
        <v>29.27</v>
      </c>
      <c r="O28" s="217"/>
      <c r="P28" s="216">
        <f>ROUND(B28*5.89,2)</f>
        <v>0</v>
      </c>
      <c r="Q28" s="216">
        <f>ROUND(C28*5.89,2)</f>
        <v>0</v>
      </c>
      <c r="R28" s="216">
        <f>ROUND(D28*5.89,2)</f>
        <v>7.36</v>
      </c>
      <c r="S28" s="216">
        <f>ROUND(E28*5.89,2)</f>
        <v>88.76</v>
      </c>
      <c r="T28" s="216">
        <f>ROUNDDOWN(F28*5.89,2)</f>
        <v>132.99</v>
      </c>
      <c r="U28" s="216">
        <f>ROUND(G28*5.89,2)</f>
        <v>149.37</v>
      </c>
    </row>
    <row r="29" spans="1:21">
      <c r="A29" s="100" t="s">
        <v>1070</v>
      </c>
      <c r="B29" s="56"/>
      <c r="C29" s="56"/>
      <c r="D29" s="56"/>
      <c r="E29" s="56"/>
      <c r="F29" s="56"/>
      <c r="G29" s="56"/>
      <c r="H29" s="57"/>
      <c r="I29" s="56"/>
      <c r="J29" s="56"/>
      <c r="K29" s="56"/>
      <c r="L29" s="56"/>
      <c r="M29" s="56"/>
      <c r="N29" s="56"/>
      <c r="O29" s="57"/>
      <c r="P29" s="56"/>
      <c r="Q29" s="56"/>
      <c r="R29" s="56"/>
      <c r="S29" s="56"/>
      <c r="T29" s="56"/>
      <c r="U29" s="56"/>
    </row>
    <row r="30" spans="1:21">
      <c r="A30" s="59" t="s">
        <v>58</v>
      </c>
      <c r="B30" s="67">
        <v>148.09</v>
      </c>
      <c r="C30" s="67">
        <v>148.71</v>
      </c>
      <c r="D30" s="67">
        <v>147.93</v>
      </c>
      <c r="E30" s="67">
        <v>151.09</v>
      </c>
      <c r="F30" s="67">
        <v>123.46</v>
      </c>
      <c r="G30" s="67">
        <v>144.26</v>
      </c>
      <c r="H30" s="57">
        <f>H6+H12+H18+H24</f>
        <v>0</v>
      </c>
      <c r="I30" s="67">
        <f t="shared" ref="I30:N33" si="14">SUM(I6,I12,I18,I24)</f>
        <v>170.9</v>
      </c>
      <c r="J30" s="67">
        <f t="shared" si="14"/>
        <v>171.61</v>
      </c>
      <c r="K30" s="67">
        <f t="shared" si="14"/>
        <v>170.71</v>
      </c>
      <c r="L30" s="67">
        <f t="shared" si="14"/>
        <v>174.36</v>
      </c>
      <c r="M30" s="67">
        <f t="shared" si="14"/>
        <v>142.47999999999999</v>
      </c>
      <c r="N30" s="67">
        <f t="shared" si="14"/>
        <v>166.47999999999996</v>
      </c>
      <c r="O30" s="214"/>
      <c r="P30" s="67">
        <f t="shared" ref="P30:U33" si="15">SUM(P6,P12,P18,P24)</f>
        <v>872.24</v>
      </c>
      <c r="Q30" s="67">
        <f t="shared" si="15"/>
        <v>875.91</v>
      </c>
      <c r="R30" s="67">
        <f t="shared" si="15"/>
        <v>871.31</v>
      </c>
      <c r="S30" s="67">
        <f t="shared" si="15"/>
        <v>889.92</v>
      </c>
      <c r="T30" s="67">
        <f t="shared" si="15"/>
        <v>727.18000000000006</v>
      </c>
      <c r="U30" s="67">
        <f t="shared" si="15"/>
        <v>849.68999999999994</v>
      </c>
    </row>
    <row r="31" spans="1:21">
      <c r="A31" s="59" t="s">
        <v>59</v>
      </c>
      <c r="B31" s="67">
        <v>134.16999999999999</v>
      </c>
      <c r="C31" s="67">
        <v>134.08000000000001</v>
      </c>
      <c r="D31" s="67">
        <v>132.55000000000001</v>
      </c>
      <c r="E31" s="67">
        <v>138.11000000000001</v>
      </c>
      <c r="F31" s="67">
        <v>92.91</v>
      </c>
      <c r="G31" s="67">
        <v>117.68</v>
      </c>
      <c r="H31" s="57">
        <f>H7+H13+H19+H25</f>
        <v>0</v>
      </c>
      <c r="I31" s="67">
        <f t="shared" si="14"/>
        <v>154.84</v>
      </c>
      <c r="J31" s="67">
        <f t="shared" si="14"/>
        <v>154.72999999999999</v>
      </c>
      <c r="K31" s="67">
        <f t="shared" si="14"/>
        <v>152.96999999999997</v>
      </c>
      <c r="L31" s="67">
        <f t="shared" si="14"/>
        <v>159.38</v>
      </c>
      <c r="M31" s="67">
        <f t="shared" si="14"/>
        <v>107.22</v>
      </c>
      <c r="N31" s="67">
        <f t="shared" si="14"/>
        <v>135.79</v>
      </c>
      <c r="O31" s="214"/>
      <c r="P31" s="67">
        <f t="shared" si="15"/>
        <v>790.27</v>
      </c>
      <c r="Q31" s="67">
        <f t="shared" si="15"/>
        <v>789.73</v>
      </c>
      <c r="R31" s="67">
        <f t="shared" si="15"/>
        <v>780.72</v>
      </c>
      <c r="S31" s="67">
        <f t="shared" si="15"/>
        <v>813.46</v>
      </c>
      <c r="T31" s="67">
        <f t="shared" si="15"/>
        <v>547.2399999999999</v>
      </c>
      <c r="U31" s="67">
        <f t="shared" si="15"/>
        <v>693.13</v>
      </c>
    </row>
    <row r="32" spans="1:21">
      <c r="A32" s="59" t="s">
        <v>60</v>
      </c>
      <c r="B32" s="67">
        <v>123.94</v>
      </c>
      <c r="C32" s="67">
        <v>127.07</v>
      </c>
      <c r="D32" s="67">
        <v>121.32</v>
      </c>
      <c r="E32" s="67">
        <v>122.46</v>
      </c>
      <c r="F32" s="67">
        <v>102.33</v>
      </c>
      <c r="G32" s="67">
        <v>103.68</v>
      </c>
      <c r="H32" s="57">
        <f>H8+H14+H20+H26</f>
        <v>0</v>
      </c>
      <c r="I32" s="67">
        <f t="shared" si="14"/>
        <v>143.02000000000001</v>
      </c>
      <c r="J32" s="67">
        <f t="shared" si="14"/>
        <v>146.64000000000001</v>
      </c>
      <c r="K32" s="67">
        <f t="shared" si="14"/>
        <v>140</v>
      </c>
      <c r="L32" s="67">
        <f t="shared" si="14"/>
        <v>141.32000000000002</v>
      </c>
      <c r="M32" s="67">
        <f t="shared" si="14"/>
        <v>118.08</v>
      </c>
      <c r="N32" s="67">
        <f t="shared" si="14"/>
        <v>119.65</v>
      </c>
      <c r="O32" s="214"/>
      <c r="P32" s="67">
        <f t="shared" si="15"/>
        <v>730.01</v>
      </c>
      <c r="Q32" s="67">
        <f t="shared" si="15"/>
        <v>748.44</v>
      </c>
      <c r="R32" s="67">
        <f t="shared" si="15"/>
        <v>714.58</v>
      </c>
      <c r="S32" s="67">
        <f t="shared" si="15"/>
        <v>721.30000000000007</v>
      </c>
      <c r="T32" s="67">
        <f t="shared" si="15"/>
        <v>602.72000000000014</v>
      </c>
      <c r="U32" s="67">
        <f t="shared" si="15"/>
        <v>610.68000000000006</v>
      </c>
    </row>
    <row r="33" spans="1:21">
      <c r="A33" s="59" t="s">
        <v>61</v>
      </c>
      <c r="B33" s="67">
        <v>148.80000000000001</v>
      </c>
      <c r="C33" s="67">
        <v>146.09</v>
      </c>
      <c r="D33" s="67">
        <v>146.75</v>
      </c>
      <c r="E33" s="67">
        <v>138.07</v>
      </c>
      <c r="F33" s="67">
        <v>142.82</v>
      </c>
      <c r="G33" s="67">
        <v>142.97</v>
      </c>
      <c r="H33" s="57">
        <f>H9+H15+H21+H27</f>
        <v>0</v>
      </c>
      <c r="I33" s="67">
        <f t="shared" si="14"/>
        <v>171.71</v>
      </c>
      <c r="J33" s="67">
        <f t="shared" si="14"/>
        <v>168.59</v>
      </c>
      <c r="K33" s="67">
        <f t="shared" si="14"/>
        <v>169.35</v>
      </c>
      <c r="L33" s="67">
        <f t="shared" si="14"/>
        <v>159.32999999999998</v>
      </c>
      <c r="M33" s="67">
        <f t="shared" si="14"/>
        <v>164.81</v>
      </c>
      <c r="N33" s="67">
        <f t="shared" si="14"/>
        <v>164.99</v>
      </c>
      <c r="O33" s="214"/>
      <c r="P33" s="67">
        <f t="shared" si="15"/>
        <v>876.43000000000006</v>
      </c>
      <c r="Q33" s="67">
        <f t="shared" si="15"/>
        <v>860.46999999999991</v>
      </c>
      <c r="R33" s="67">
        <f t="shared" si="15"/>
        <v>864.35</v>
      </c>
      <c r="S33" s="67">
        <f t="shared" si="15"/>
        <v>813.23</v>
      </c>
      <c r="T33" s="67">
        <f t="shared" si="15"/>
        <v>841.21</v>
      </c>
      <c r="U33" s="67">
        <f t="shared" si="15"/>
        <v>842.09999999999991</v>
      </c>
    </row>
    <row r="34" spans="1:21" ht="13.8" thickBot="1">
      <c r="A34" s="218" t="s">
        <v>62</v>
      </c>
      <c r="B34" s="219">
        <v>555</v>
      </c>
      <c r="C34" s="219">
        <v>555.95000000000005</v>
      </c>
      <c r="D34" s="219">
        <v>548.54999999999995</v>
      </c>
      <c r="E34" s="219">
        <v>549.73</v>
      </c>
      <c r="F34" s="219">
        <v>461.52</v>
      </c>
      <c r="G34" s="219">
        <v>508.59</v>
      </c>
      <c r="H34" s="54">
        <f>H10+H16+H22+H28</f>
        <v>0</v>
      </c>
      <c r="I34" s="219">
        <f t="shared" ref="I34:N34" si="16">ROUND(B34*1.154,2)</f>
        <v>640.47</v>
      </c>
      <c r="J34" s="219">
        <f t="shared" si="16"/>
        <v>641.57000000000005</v>
      </c>
      <c r="K34" s="219">
        <f t="shared" si="16"/>
        <v>633.03</v>
      </c>
      <c r="L34" s="219">
        <f t="shared" si="16"/>
        <v>634.39</v>
      </c>
      <c r="M34" s="219">
        <f t="shared" si="16"/>
        <v>532.59</v>
      </c>
      <c r="N34" s="219">
        <f t="shared" si="16"/>
        <v>586.91</v>
      </c>
      <c r="O34" s="217"/>
      <c r="P34" s="219">
        <f t="shared" ref="P34:U34" si="17">ROUND(B34*5.89,2)</f>
        <v>3268.95</v>
      </c>
      <c r="Q34" s="219">
        <f t="shared" si="17"/>
        <v>3274.55</v>
      </c>
      <c r="R34" s="219">
        <f t="shared" si="17"/>
        <v>3230.96</v>
      </c>
      <c r="S34" s="219">
        <f t="shared" si="17"/>
        <v>3237.91</v>
      </c>
      <c r="T34" s="219">
        <f t="shared" si="17"/>
        <v>2718.35</v>
      </c>
      <c r="U34" s="219">
        <f t="shared" si="17"/>
        <v>2995.6</v>
      </c>
    </row>
    <row r="35" spans="1:21" ht="13.8" thickTop="1">
      <c r="A35" s="492" t="s">
        <v>529</v>
      </c>
      <c r="B35" s="492"/>
      <c r="C35" s="492"/>
      <c r="D35" s="492"/>
      <c r="E35" s="492"/>
      <c r="F35" s="492"/>
      <c r="G35" s="492"/>
      <c r="H35" s="492"/>
      <c r="I35" s="492"/>
      <c r="J35" s="492"/>
      <c r="K35" s="492"/>
      <c r="L35" s="492"/>
      <c r="M35" s="492"/>
      <c r="N35" s="492"/>
      <c r="O35" s="492"/>
      <c r="P35" s="492"/>
      <c r="Q35" s="492"/>
      <c r="R35" s="492"/>
      <c r="S35" s="492"/>
      <c r="T35" s="492"/>
      <c r="U35" s="492"/>
    </row>
    <row r="36" spans="1:21">
      <c r="A36" s="499"/>
      <c r="B36" s="499"/>
      <c r="C36" s="499"/>
      <c r="D36" s="499"/>
      <c r="E36" s="499"/>
      <c r="F36" s="499"/>
      <c r="G36" s="499"/>
      <c r="H36" s="499"/>
      <c r="I36" s="499"/>
      <c r="J36" s="499"/>
      <c r="K36" s="499"/>
      <c r="L36" s="499"/>
      <c r="M36" s="499"/>
      <c r="N36" s="499"/>
      <c r="O36" s="499"/>
      <c r="P36" s="499"/>
      <c r="Q36" s="499"/>
      <c r="R36" s="499"/>
      <c r="S36" s="499"/>
      <c r="T36" s="499"/>
      <c r="U36" s="107"/>
    </row>
    <row r="37" spans="1:21">
      <c r="A37" s="487" t="s">
        <v>776</v>
      </c>
      <c r="B37" s="487"/>
      <c r="C37" s="487"/>
      <c r="D37" s="487"/>
      <c r="E37" s="487"/>
      <c r="F37" s="487"/>
      <c r="G37" s="487"/>
      <c r="H37" s="487"/>
    </row>
    <row r="38" spans="1:21" hidden="1"/>
    <row r="39" spans="1:21" hidden="1"/>
    <row r="40" spans="1:21" hidden="1"/>
    <row r="41" spans="1:21" hidden="1"/>
    <row r="42" spans="1:21" hidden="1"/>
  </sheetData>
  <sheetProtection password="CAF1" sheet="1" formatCells="0" formatColumns="0" formatRows="0" insertColumns="0" insertRows="0" insertHyperlinks="0" deleteColumns="0" deleteRows="0" sort="0" autoFilter="0" pivotTables="0"/>
  <mergeCells count="9">
    <mergeCell ref="I2:N2"/>
    <mergeCell ref="P2:U2"/>
    <mergeCell ref="A37:H37"/>
    <mergeCell ref="A36:T36"/>
    <mergeCell ref="B4:G4"/>
    <mergeCell ref="I4:N4"/>
    <mergeCell ref="P4:U4"/>
    <mergeCell ref="A35:U35"/>
    <mergeCell ref="B2:G2"/>
  </mergeCells>
  <phoneticPr fontId="27" type="noConversion"/>
  <hyperlinks>
    <hyperlink ref="A37:H37" location="Титул!A1" display="Вернуться к Содержанию"/>
  </hyperlinks>
  <pageMargins left="0.25" right="0.25" top="0.75" bottom="0.75" header="0.3" footer="0.3"/>
  <pageSetup paperSize="9" firstPageNumber="17" orientation="landscape" useFirstPageNumber="1" r:id="rId1"/>
  <headerFooter alignWithMargins="0">
    <oddHeader>&amp;L&amp;"Times New Roman,полужирный"Газпром в цифрах 2006-2010 гг.&amp;R&amp;"Times New Roman,полужирный"Справочник</oddHeader>
    <oddFooter>&amp;C&amp;P</oddFooter>
  </headerFooter>
</worksheet>
</file>

<file path=xl/worksheets/sheet14.xml><?xml version="1.0" encoding="utf-8"?>
<worksheet xmlns="http://schemas.openxmlformats.org/spreadsheetml/2006/main" xmlns:r="http://schemas.openxmlformats.org/officeDocument/2006/relationships">
  <sheetPr codeName="Лист14"/>
  <dimension ref="A1:U47"/>
  <sheetViews>
    <sheetView zoomScaleNormal="100" zoomScaleSheetLayoutView="100" workbookViewId="0"/>
  </sheetViews>
  <sheetFormatPr defaultColWidth="0" defaultRowHeight="13.2" zeroHeight="1" outlineLevelCol="1"/>
  <cols>
    <col min="1" max="1" width="34.6640625" style="2" customWidth="1"/>
    <col min="2" max="2" width="0.109375" style="2" hidden="1" customWidth="1" outlineLevel="1"/>
    <col min="3" max="3" width="7.33203125" style="2" customWidth="1" collapsed="1"/>
    <col min="4" max="7" width="7.33203125" style="2" customWidth="1"/>
    <col min="8" max="8" width="1.33203125" style="4" customWidth="1"/>
    <col min="9" max="9" width="7.33203125" style="2" hidden="1" customWidth="1" outlineLevel="1"/>
    <col min="10" max="10" width="7.33203125" style="2" customWidth="1" collapsed="1"/>
    <col min="11" max="12" width="7.33203125" style="2" customWidth="1"/>
    <col min="13" max="13" width="7.109375" style="2" customWidth="1"/>
    <col min="14" max="14" width="6.44140625" style="2" customWidth="1"/>
    <col min="15" max="15" width="1.33203125" style="4" customWidth="1"/>
    <col min="16" max="16" width="7.33203125" style="2" hidden="1" customWidth="1" outlineLevel="1"/>
    <col min="17" max="17" width="7.33203125" style="2" customWidth="1" collapsed="1"/>
    <col min="18" max="20" width="7.33203125" style="2" customWidth="1"/>
    <col min="21" max="21" width="6.5546875" style="2" customWidth="1"/>
    <col min="22" max="16384" width="0" style="2" hidden="1"/>
  </cols>
  <sheetData>
    <row r="1" spans="1:21" ht="15.6">
      <c r="A1" s="51" t="s">
        <v>632</v>
      </c>
      <c r="B1" s="28"/>
      <c r="C1" s="28"/>
      <c r="D1" s="28"/>
      <c r="E1" s="28"/>
      <c r="F1" s="28"/>
      <c r="G1" s="28"/>
      <c r="H1" s="29"/>
      <c r="I1" s="28"/>
      <c r="J1" s="28"/>
      <c r="K1" s="28"/>
      <c r="L1" s="28"/>
      <c r="M1" s="28"/>
      <c r="N1" s="28"/>
      <c r="O1" s="29"/>
      <c r="P1" s="28"/>
      <c r="Q1" s="28"/>
      <c r="R1" s="28"/>
      <c r="S1" s="28"/>
      <c r="T1" s="28"/>
      <c r="U1" s="28"/>
    </row>
    <row r="2" spans="1:21" ht="12.75" customHeight="1">
      <c r="A2" s="212"/>
      <c r="B2" s="488" t="s">
        <v>656</v>
      </c>
      <c r="C2" s="488"/>
      <c r="D2" s="488"/>
      <c r="E2" s="488"/>
      <c r="F2" s="488"/>
      <c r="G2" s="488"/>
      <c r="H2" s="31"/>
      <c r="I2" s="488" t="s">
        <v>656</v>
      </c>
      <c r="J2" s="488"/>
      <c r="K2" s="488"/>
      <c r="L2" s="488"/>
      <c r="M2" s="488"/>
      <c r="N2" s="488"/>
      <c r="O2" s="31"/>
      <c r="P2" s="488" t="s">
        <v>656</v>
      </c>
      <c r="Q2" s="488"/>
      <c r="R2" s="488"/>
      <c r="S2" s="488"/>
      <c r="T2" s="488"/>
      <c r="U2" s="488"/>
    </row>
    <row r="3" spans="1:21">
      <c r="A3" s="212"/>
      <c r="B3" s="32">
        <v>2005</v>
      </c>
      <c r="C3" s="32">
        <v>2006</v>
      </c>
      <c r="D3" s="32">
        <v>2007</v>
      </c>
      <c r="E3" s="32">
        <v>2008</v>
      </c>
      <c r="F3" s="137">
        <v>2009</v>
      </c>
      <c r="G3" s="137">
        <v>2010</v>
      </c>
      <c r="H3" s="33"/>
      <c r="I3" s="32">
        <v>2005</v>
      </c>
      <c r="J3" s="32">
        <v>2006</v>
      </c>
      <c r="K3" s="32">
        <v>2007</v>
      </c>
      <c r="L3" s="32">
        <v>2008</v>
      </c>
      <c r="M3" s="32">
        <v>2009</v>
      </c>
      <c r="N3" s="32">
        <v>2010</v>
      </c>
      <c r="O3" s="33"/>
      <c r="P3" s="32">
        <v>2005</v>
      </c>
      <c r="Q3" s="32">
        <v>2006</v>
      </c>
      <c r="R3" s="32">
        <v>2007</v>
      </c>
      <c r="S3" s="32">
        <v>2008</v>
      </c>
      <c r="T3" s="32">
        <v>2009</v>
      </c>
      <c r="U3" s="32">
        <v>2010</v>
      </c>
    </row>
    <row r="4" spans="1:21" ht="12.75" customHeight="1">
      <c r="A4" s="109"/>
      <c r="B4" s="488" t="s">
        <v>581</v>
      </c>
      <c r="C4" s="488"/>
      <c r="D4" s="488"/>
      <c r="E4" s="488"/>
      <c r="F4" s="488"/>
      <c r="G4" s="488"/>
      <c r="H4" s="31"/>
      <c r="I4" s="488" t="s">
        <v>409</v>
      </c>
      <c r="J4" s="488"/>
      <c r="K4" s="488"/>
      <c r="L4" s="488"/>
      <c r="M4" s="488"/>
      <c r="N4" s="488"/>
      <c r="O4" s="31"/>
      <c r="P4" s="488" t="s">
        <v>410</v>
      </c>
      <c r="Q4" s="488"/>
      <c r="R4" s="488"/>
      <c r="S4" s="488"/>
      <c r="T4" s="488"/>
      <c r="U4" s="488"/>
    </row>
    <row r="5" spans="1:21" ht="24" customHeight="1">
      <c r="A5" s="100" t="s">
        <v>27</v>
      </c>
      <c r="B5" s="104"/>
      <c r="C5" s="104"/>
      <c r="D5" s="104"/>
      <c r="E5" s="104"/>
      <c r="F5" s="104"/>
      <c r="G5" s="104"/>
      <c r="H5" s="75"/>
      <c r="I5" s="104"/>
      <c r="J5" s="104"/>
      <c r="K5" s="104"/>
      <c r="L5" s="104"/>
      <c r="M5" s="104"/>
      <c r="N5" s="104"/>
      <c r="O5" s="75"/>
      <c r="P5" s="104"/>
      <c r="Q5" s="104"/>
      <c r="R5" s="104"/>
      <c r="S5" s="104"/>
      <c r="T5" s="104"/>
      <c r="U5" s="104"/>
    </row>
    <row r="6" spans="1:21">
      <c r="A6" s="59" t="s">
        <v>58</v>
      </c>
      <c r="B6" s="179">
        <v>2.9</v>
      </c>
      <c r="C6" s="179">
        <v>2.86</v>
      </c>
      <c r="D6" s="179">
        <v>2.86</v>
      </c>
      <c r="E6" s="179">
        <v>2.84</v>
      </c>
      <c r="F6" s="179">
        <v>2.34</v>
      </c>
      <c r="G6" s="179">
        <v>2.82</v>
      </c>
      <c r="H6" s="182"/>
      <c r="I6" s="179">
        <f>ROUND(B6*1.43,2)</f>
        <v>4.1500000000000004</v>
      </c>
      <c r="J6" s="179">
        <f>ROUND(C6*1.43,2)</f>
        <v>4.09</v>
      </c>
      <c r="K6" s="179">
        <f t="shared" ref="K6:L10" si="0">ROUND(D6*1.43,2)</f>
        <v>4.09</v>
      </c>
      <c r="L6" s="179">
        <f t="shared" si="0"/>
        <v>4.0599999999999996</v>
      </c>
      <c r="M6" s="179">
        <f>ROUNDDOWN(F6*1.43,2)</f>
        <v>3.34</v>
      </c>
      <c r="N6" s="179">
        <f>ROUNDDOWN(G6*1.43,2)</f>
        <v>4.03</v>
      </c>
      <c r="O6" s="182"/>
      <c r="P6" s="179">
        <f>ROUNDUP(B6*8.18,2)</f>
        <v>23.73</v>
      </c>
      <c r="Q6" s="179">
        <f>ROUNDUP(C6*8.18,2)</f>
        <v>23.400000000000002</v>
      </c>
      <c r="R6" s="179">
        <f>ROUNDUP(D6*8.18,2)</f>
        <v>23.400000000000002</v>
      </c>
      <c r="S6" s="179">
        <f>ROUNDUP(E6*8.18,2)</f>
        <v>23.240000000000002</v>
      </c>
      <c r="T6" s="179">
        <f t="shared" ref="T6:U10" si="1">ROUND(F6*8.18,2)</f>
        <v>19.14</v>
      </c>
      <c r="U6" s="179">
        <f t="shared" si="1"/>
        <v>23.07</v>
      </c>
    </row>
    <row r="7" spans="1:21">
      <c r="A7" s="59" t="s">
        <v>59</v>
      </c>
      <c r="B7" s="179">
        <v>2.86</v>
      </c>
      <c r="C7" s="179">
        <v>2.84</v>
      </c>
      <c r="D7" s="179">
        <v>2.8</v>
      </c>
      <c r="E7" s="179">
        <v>2.69</v>
      </c>
      <c r="F7" s="179">
        <v>2.5099999999999998</v>
      </c>
      <c r="G7" s="179">
        <v>2.78</v>
      </c>
      <c r="H7" s="182"/>
      <c r="I7" s="179">
        <f>ROUND(B7*1.43,2)</f>
        <v>4.09</v>
      </c>
      <c r="J7" s="179">
        <f>ROUND(C7*1.43,2)</f>
        <v>4.0599999999999996</v>
      </c>
      <c r="K7" s="179">
        <f t="shared" si="0"/>
        <v>4</v>
      </c>
      <c r="L7" s="179">
        <f t="shared" si="0"/>
        <v>3.85</v>
      </c>
      <c r="M7" s="179">
        <f>ROUND(F7*1.43,2)</f>
        <v>3.59</v>
      </c>
      <c r="N7" s="179">
        <f>ROUND(G7*1.43,2)</f>
        <v>3.98</v>
      </c>
      <c r="O7" s="182"/>
      <c r="P7" s="179">
        <f t="shared" ref="P7:S10" si="2">ROUND(B7*8.18,2)</f>
        <v>23.39</v>
      </c>
      <c r="Q7" s="179">
        <f t="shared" si="2"/>
        <v>23.23</v>
      </c>
      <c r="R7" s="179">
        <f t="shared" si="2"/>
        <v>22.9</v>
      </c>
      <c r="S7" s="179">
        <f t="shared" si="2"/>
        <v>22</v>
      </c>
      <c r="T7" s="179">
        <f t="shared" si="1"/>
        <v>20.53</v>
      </c>
      <c r="U7" s="179">
        <f t="shared" si="1"/>
        <v>22.74</v>
      </c>
    </row>
    <row r="8" spans="1:21">
      <c r="A8" s="59" t="s">
        <v>60</v>
      </c>
      <c r="B8" s="179">
        <v>2.8</v>
      </c>
      <c r="C8" s="179">
        <v>2.77</v>
      </c>
      <c r="D8" s="179">
        <v>2.78</v>
      </c>
      <c r="E8" s="179">
        <v>2.67</v>
      </c>
      <c r="F8" s="179">
        <v>2.5</v>
      </c>
      <c r="G8" s="179">
        <v>2.79</v>
      </c>
      <c r="H8" s="182"/>
      <c r="I8" s="179">
        <f>ROUNDUP(B8*1.43,2)</f>
        <v>4.01</v>
      </c>
      <c r="J8" s="179">
        <f>ROUND(C8*1.43,2)</f>
        <v>3.96</v>
      </c>
      <c r="K8" s="179">
        <f t="shared" si="0"/>
        <v>3.98</v>
      </c>
      <c r="L8" s="179">
        <f t="shared" si="0"/>
        <v>3.82</v>
      </c>
      <c r="M8" s="179">
        <f>ROUND(F8*1.43,2)</f>
        <v>3.58</v>
      </c>
      <c r="N8" s="179">
        <f>ROUND(G8*1.43,2)</f>
        <v>3.99</v>
      </c>
      <c r="O8" s="182"/>
      <c r="P8" s="179">
        <f t="shared" si="2"/>
        <v>22.9</v>
      </c>
      <c r="Q8" s="179">
        <f t="shared" si="2"/>
        <v>22.66</v>
      </c>
      <c r="R8" s="179">
        <f t="shared" si="2"/>
        <v>22.74</v>
      </c>
      <c r="S8" s="179">
        <f t="shared" si="2"/>
        <v>21.84</v>
      </c>
      <c r="T8" s="179">
        <f t="shared" si="1"/>
        <v>20.45</v>
      </c>
      <c r="U8" s="179">
        <f t="shared" si="1"/>
        <v>22.82</v>
      </c>
    </row>
    <row r="9" spans="1:21">
      <c r="A9" s="59" t="s">
        <v>61</v>
      </c>
      <c r="B9" s="179">
        <v>2.94</v>
      </c>
      <c r="C9" s="179">
        <v>2.9</v>
      </c>
      <c r="D9" s="179">
        <v>2.83</v>
      </c>
      <c r="E9" s="179">
        <v>2.73</v>
      </c>
      <c r="F9" s="179">
        <v>2.72</v>
      </c>
      <c r="G9" s="179">
        <v>2.9</v>
      </c>
      <c r="H9" s="182"/>
      <c r="I9" s="179">
        <f>ROUND(B9*1.43,2)</f>
        <v>4.2</v>
      </c>
      <c r="J9" s="179">
        <f>ROUND(C9*1.43,2)</f>
        <v>4.1500000000000004</v>
      </c>
      <c r="K9" s="179">
        <f t="shared" si="0"/>
        <v>4.05</v>
      </c>
      <c r="L9" s="179">
        <f t="shared" si="0"/>
        <v>3.9</v>
      </c>
      <c r="M9" s="179">
        <f>ROUND(F9*1.43,2)</f>
        <v>3.89</v>
      </c>
      <c r="N9" s="179">
        <f>ROUNDDOWN(G9*1.43,2)</f>
        <v>4.1399999999999997</v>
      </c>
      <c r="O9" s="182"/>
      <c r="P9" s="179">
        <f t="shared" si="2"/>
        <v>24.05</v>
      </c>
      <c r="Q9" s="179">
        <f t="shared" si="2"/>
        <v>23.72</v>
      </c>
      <c r="R9" s="179">
        <f t="shared" si="2"/>
        <v>23.15</v>
      </c>
      <c r="S9" s="179">
        <f t="shared" si="2"/>
        <v>22.33</v>
      </c>
      <c r="T9" s="179">
        <f t="shared" si="1"/>
        <v>22.25</v>
      </c>
      <c r="U9" s="179">
        <f t="shared" si="1"/>
        <v>23.72</v>
      </c>
    </row>
    <row r="10" spans="1:21" ht="13.8" thickBot="1">
      <c r="A10" s="215" t="s">
        <v>62</v>
      </c>
      <c r="B10" s="220">
        <v>11.5</v>
      </c>
      <c r="C10" s="220">
        <v>11.37</v>
      </c>
      <c r="D10" s="220">
        <v>11.27</v>
      </c>
      <c r="E10" s="220">
        <v>10.93</v>
      </c>
      <c r="F10" s="220">
        <v>10.07</v>
      </c>
      <c r="G10" s="220">
        <v>11.29</v>
      </c>
      <c r="H10" s="221"/>
      <c r="I10" s="220">
        <f>ROUND(B10*1.43,2)</f>
        <v>16.45</v>
      </c>
      <c r="J10" s="220">
        <f>ROUND(C10*1.43,2)</f>
        <v>16.260000000000002</v>
      </c>
      <c r="K10" s="220">
        <f t="shared" si="0"/>
        <v>16.12</v>
      </c>
      <c r="L10" s="220">
        <f t="shared" si="0"/>
        <v>15.63</v>
      </c>
      <c r="M10" s="220">
        <f>ROUND(F10*1.43,2)</f>
        <v>14.4</v>
      </c>
      <c r="N10" s="220">
        <f>ROUND(G10*1.43,2)</f>
        <v>16.14</v>
      </c>
      <c r="O10" s="221"/>
      <c r="P10" s="220">
        <f t="shared" si="2"/>
        <v>94.07</v>
      </c>
      <c r="Q10" s="220">
        <f t="shared" si="2"/>
        <v>93.01</v>
      </c>
      <c r="R10" s="220">
        <f t="shared" si="2"/>
        <v>92.19</v>
      </c>
      <c r="S10" s="220">
        <f t="shared" si="2"/>
        <v>89.41</v>
      </c>
      <c r="T10" s="220">
        <f t="shared" si="1"/>
        <v>82.37</v>
      </c>
      <c r="U10" s="220">
        <f t="shared" si="1"/>
        <v>92.35</v>
      </c>
    </row>
    <row r="11" spans="1:21">
      <c r="A11" s="100" t="s">
        <v>1070</v>
      </c>
      <c r="B11" s="75"/>
      <c r="C11" s="75"/>
      <c r="D11" s="75"/>
      <c r="E11" s="75"/>
      <c r="F11" s="75"/>
      <c r="G11" s="75"/>
      <c r="H11" s="75"/>
      <c r="I11" s="75"/>
      <c r="J11" s="75"/>
      <c r="K11" s="75"/>
      <c r="L11" s="75"/>
      <c r="M11" s="75"/>
      <c r="N11" s="75"/>
      <c r="O11" s="75"/>
      <c r="P11" s="75"/>
      <c r="Q11" s="75"/>
      <c r="R11" s="75"/>
      <c r="S11" s="75"/>
      <c r="T11" s="75"/>
      <c r="U11" s="75"/>
    </row>
    <row r="12" spans="1:21">
      <c r="A12" s="59" t="s">
        <v>58</v>
      </c>
      <c r="B12" s="179">
        <f>B6</f>
        <v>2.9</v>
      </c>
      <c r="C12" s="179">
        <f>C6</f>
        <v>2.86</v>
      </c>
      <c r="D12" s="179">
        <f>D6</f>
        <v>2.86</v>
      </c>
      <c r="E12" s="179">
        <f>E6</f>
        <v>2.84</v>
      </c>
      <c r="F12" s="179">
        <f>F6</f>
        <v>2.34</v>
      </c>
      <c r="G12" s="179">
        <v>2.82</v>
      </c>
      <c r="H12" s="182"/>
      <c r="I12" s="179">
        <f t="shared" ref="I12:M16" si="3">I6</f>
        <v>4.1500000000000004</v>
      </c>
      <c r="J12" s="179">
        <f t="shared" si="3"/>
        <v>4.09</v>
      </c>
      <c r="K12" s="179">
        <f t="shared" si="3"/>
        <v>4.09</v>
      </c>
      <c r="L12" s="179">
        <f t="shared" si="3"/>
        <v>4.0599999999999996</v>
      </c>
      <c r="M12" s="179">
        <f t="shared" si="3"/>
        <v>3.34</v>
      </c>
      <c r="N12" s="179">
        <f>N6</f>
        <v>4.03</v>
      </c>
      <c r="O12" s="182"/>
      <c r="P12" s="179">
        <f t="shared" ref="P12:T16" si="4">P6</f>
        <v>23.73</v>
      </c>
      <c r="Q12" s="179">
        <f t="shared" si="4"/>
        <v>23.400000000000002</v>
      </c>
      <c r="R12" s="179">
        <f t="shared" si="4"/>
        <v>23.400000000000002</v>
      </c>
      <c r="S12" s="179">
        <f t="shared" si="4"/>
        <v>23.240000000000002</v>
      </c>
      <c r="T12" s="179">
        <f t="shared" si="4"/>
        <v>19.14</v>
      </c>
      <c r="U12" s="179">
        <f>U6</f>
        <v>23.07</v>
      </c>
    </row>
    <row r="13" spans="1:21">
      <c r="A13" s="59" t="s">
        <v>59</v>
      </c>
      <c r="B13" s="179">
        <f t="shared" ref="B13:F16" si="5">B7</f>
        <v>2.86</v>
      </c>
      <c r="C13" s="179">
        <f t="shared" si="5"/>
        <v>2.84</v>
      </c>
      <c r="D13" s="179">
        <f t="shared" si="5"/>
        <v>2.8</v>
      </c>
      <c r="E13" s="179">
        <f t="shared" si="5"/>
        <v>2.69</v>
      </c>
      <c r="F13" s="179">
        <f t="shared" si="5"/>
        <v>2.5099999999999998</v>
      </c>
      <c r="G13" s="179">
        <v>2.78</v>
      </c>
      <c r="H13" s="182"/>
      <c r="I13" s="179">
        <f t="shared" si="3"/>
        <v>4.09</v>
      </c>
      <c r="J13" s="179">
        <f t="shared" si="3"/>
        <v>4.0599999999999996</v>
      </c>
      <c r="K13" s="179">
        <f t="shared" si="3"/>
        <v>4</v>
      </c>
      <c r="L13" s="179">
        <f t="shared" si="3"/>
        <v>3.85</v>
      </c>
      <c r="M13" s="179">
        <f t="shared" si="3"/>
        <v>3.59</v>
      </c>
      <c r="N13" s="179">
        <f>N7</f>
        <v>3.98</v>
      </c>
      <c r="O13" s="182"/>
      <c r="P13" s="179">
        <f t="shared" si="4"/>
        <v>23.39</v>
      </c>
      <c r="Q13" s="179">
        <f t="shared" si="4"/>
        <v>23.23</v>
      </c>
      <c r="R13" s="179">
        <f t="shared" si="4"/>
        <v>22.9</v>
      </c>
      <c r="S13" s="179">
        <f t="shared" si="4"/>
        <v>22</v>
      </c>
      <c r="T13" s="179">
        <f t="shared" si="4"/>
        <v>20.53</v>
      </c>
      <c r="U13" s="179">
        <f>U7</f>
        <v>22.74</v>
      </c>
    </row>
    <row r="14" spans="1:21">
      <c r="A14" s="59" t="s">
        <v>60</v>
      </c>
      <c r="B14" s="179">
        <f t="shared" si="5"/>
        <v>2.8</v>
      </c>
      <c r="C14" s="179">
        <f t="shared" si="5"/>
        <v>2.77</v>
      </c>
      <c r="D14" s="179">
        <f t="shared" si="5"/>
        <v>2.78</v>
      </c>
      <c r="E14" s="179">
        <f t="shared" si="5"/>
        <v>2.67</v>
      </c>
      <c r="F14" s="179">
        <f t="shared" si="5"/>
        <v>2.5</v>
      </c>
      <c r="G14" s="179">
        <v>2.79</v>
      </c>
      <c r="H14" s="182"/>
      <c r="I14" s="179">
        <f t="shared" si="3"/>
        <v>4.01</v>
      </c>
      <c r="J14" s="179">
        <f t="shared" si="3"/>
        <v>3.96</v>
      </c>
      <c r="K14" s="179">
        <f t="shared" si="3"/>
        <v>3.98</v>
      </c>
      <c r="L14" s="179">
        <f t="shared" si="3"/>
        <v>3.82</v>
      </c>
      <c r="M14" s="179">
        <f t="shared" si="3"/>
        <v>3.58</v>
      </c>
      <c r="N14" s="179">
        <f>N8</f>
        <v>3.99</v>
      </c>
      <c r="O14" s="182"/>
      <c r="P14" s="179">
        <f t="shared" si="4"/>
        <v>22.9</v>
      </c>
      <c r="Q14" s="179">
        <f t="shared" si="4"/>
        <v>22.66</v>
      </c>
      <c r="R14" s="179">
        <f t="shared" si="4"/>
        <v>22.74</v>
      </c>
      <c r="S14" s="179">
        <f t="shared" si="4"/>
        <v>21.84</v>
      </c>
      <c r="T14" s="179">
        <f t="shared" si="4"/>
        <v>20.45</v>
      </c>
      <c r="U14" s="179">
        <f>U8</f>
        <v>22.82</v>
      </c>
    </row>
    <row r="15" spans="1:21">
      <c r="A15" s="59" t="s">
        <v>61</v>
      </c>
      <c r="B15" s="179">
        <f t="shared" si="5"/>
        <v>2.94</v>
      </c>
      <c r="C15" s="179">
        <f t="shared" si="5"/>
        <v>2.9</v>
      </c>
      <c r="D15" s="179">
        <f t="shared" si="5"/>
        <v>2.83</v>
      </c>
      <c r="E15" s="179">
        <f t="shared" si="5"/>
        <v>2.73</v>
      </c>
      <c r="F15" s="179">
        <f t="shared" si="5"/>
        <v>2.72</v>
      </c>
      <c r="G15" s="179">
        <v>2.9</v>
      </c>
      <c r="H15" s="182"/>
      <c r="I15" s="179">
        <f t="shared" si="3"/>
        <v>4.2</v>
      </c>
      <c r="J15" s="179">
        <f t="shared" si="3"/>
        <v>4.1500000000000004</v>
      </c>
      <c r="K15" s="179">
        <f t="shared" si="3"/>
        <v>4.05</v>
      </c>
      <c r="L15" s="179">
        <f t="shared" si="3"/>
        <v>3.9</v>
      </c>
      <c r="M15" s="179">
        <f t="shared" si="3"/>
        <v>3.89</v>
      </c>
      <c r="N15" s="179">
        <f>N9</f>
        <v>4.1399999999999997</v>
      </c>
      <c r="O15" s="182"/>
      <c r="P15" s="179">
        <f t="shared" si="4"/>
        <v>24.05</v>
      </c>
      <c r="Q15" s="179">
        <f t="shared" si="4"/>
        <v>23.72</v>
      </c>
      <c r="R15" s="179">
        <f t="shared" si="4"/>
        <v>23.15</v>
      </c>
      <c r="S15" s="179">
        <f t="shared" si="4"/>
        <v>22.33</v>
      </c>
      <c r="T15" s="179">
        <f t="shared" si="4"/>
        <v>22.25</v>
      </c>
      <c r="U15" s="179">
        <f>U9</f>
        <v>23.72</v>
      </c>
    </row>
    <row r="16" spans="1:21" ht="13.8" thickBot="1">
      <c r="A16" s="218" t="s">
        <v>62</v>
      </c>
      <c r="B16" s="222">
        <f t="shared" si="5"/>
        <v>11.5</v>
      </c>
      <c r="C16" s="222">
        <f t="shared" si="5"/>
        <v>11.37</v>
      </c>
      <c r="D16" s="222">
        <f t="shared" si="5"/>
        <v>11.27</v>
      </c>
      <c r="E16" s="222">
        <f t="shared" si="5"/>
        <v>10.93</v>
      </c>
      <c r="F16" s="222">
        <f t="shared" si="5"/>
        <v>10.07</v>
      </c>
      <c r="G16" s="222">
        <v>11.29</v>
      </c>
      <c r="H16" s="221"/>
      <c r="I16" s="222">
        <f t="shared" si="3"/>
        <v>16.45</v>
      </c>
      <c r="J16" s="222">
        <f t="shared" si="3"/>
        <v>16.260000000000002</v>
      </c>
      <c r="K16" s="222">
        <f t="shared" si="3"/>
        <v>16.12</v>
      </c>
      <c r="L16" s="222">
        <f t="shared" si="3"/>
        <v>15.63</v>
      </c>
      <c r="M16" s="222">
        <f t="shared" si="3"/>
        <v>14.4</v>
      </c>
      <c r="N16" s="222">
        <f>N10</f>
        <v>16.14</v>
      </c>
      <c r="O16" s="221"/>
      <c r="P16" s="222">
        <f t="shared" si="4"/>
        <v>94.07</v>
      </c>
      <c r="Q16" s="222">
        <f t="shared" si="4"/>
        <v>93.01</v>
      </c>
      <c r="R16" s="222">
        <f t="shared" si="4"/>
        <v>92.19</v>
      </c>
      <c r="S16" s="222">
        <f t="shared" si="4"/>
        <v>89.41</v>
      </c>
      <c r="T16" s="222">
        <f t="shared" si="4"/>
        <v>82.37</v>
      </c>
      <c r="U16" s="222">
        <f>U10</f>
        <v>92.35</v>
      </c>
    </row>
    <row r="17" spans="1:21" ht="12" customHeight="1" thickTop="1">
      <c r="A17" s="499" t="s">
        <v>382</v>
      </c>
      <c r="B17" s="499"/>
      <c r="C17" s="499"/>
      <c r="D17" s="499"/>
      <c r="E17" s="499"/>
      <c r="F17" s="499"/>
      <c r="G17" s="499"/>
      <c r="H17" s="499"/>
      <c r="I17" s="499"/>
      <c r="J17" s="499"/>
      <c r="K17" s="499"/>
      <c r="L17" s="499"/>
      <c r="M17" s="499"/>
      <c r="N17" s="499"/>
      <c r="O17" s="499"/>
      <c r="P17" s="499"/>
      <c r="Q17" s="499"/>
      <c r="R17" s="499"/>
      <c r="S17" s="499"/>
      <c r="T17" s="499"/>
      <c r="U17" s="499"/>
    </row>
    <row r="18" spans="1:21" s="436" customFormat="1" ht="12" customHeight="1">
      <c r="A18" s="435"/>
      <c r="B18" s="435"/>
      <c r="C18" s="435"/>
      <c r="D18" s="435"/>
      <c r="E18" s="435"/>
      <c r="F18" s="435"/>
      <c r="G18" s="435"/>
      <c r="H18" s="435"/>
      <c r="I18" s="435"/>
      <c r="J18" s="435"/>
      <c r="K18" s="435"/>
      <c r="L18" s="435"/>
      <c r="M18" s="435"/>
      <c r="N18" s="435"/>
      <c r="O18" s="435"/>
      <c r="P18" s="435"/>
      <c r="Q18" s="435"/>
      <c r="R18" s="435"/>
      <c r="S18" s="435"/>
      <c r="T18" s="435"/>
      <c r="U18" s="435"/>
    </row>
    <row r="19" spans="1:21" ht="14.25" customHeight="1">
      <c r="A19" s="223" t="s">
        <v>631</v>
      </c>
      <c r="B19" s="221"/>
      <c r="C19" s="221"/>
      <c r="D19" s="221"/>
      <c r="E19" s="221"/>
      <c r="F19" s="221"/>
      <c r="G19" s="221"/>
      <c r="H19" s="221"/>
      <c r="I19" s="221"/>
      <c r="J19" s="221"/>
      <c r="K19" s="221"/>
      <c r="L19" s="221"/>
      <c r="M19" s="221"/>
      <c r="N19" s="221"/>
      <c r="O19" s="221"/>
      <c r="P19" s="221"/>
      <c r="Q19" s="221"/>
      <c r="R19" s="221"/>
      <c r="S19" s="221"/>
      <c r="T19" s="221"/>
      <c r="U19" s="221"/>
    </row>
    <row r="20" spans="1:21" ht="12.75" customHeight="1">
      <c r="A20" s="212"/>
      <c r="B20" s="488" t="s">
        <v>656</v>
      </c>
      <c r="C20" s="488"/>
      <c r="D20" s="488"/>
      <c r="E20" s="488"/>
      <c r="F20" s="488"/>
      <c r="G20" s="488"/>
      <c r="H20" s="31"/>
      <c r="I20" s="488" t="s">
        <v>656</v>
      </c>
      <c r="J20" s="488"/>
      <c r="K20" s="488"/>
      <c r="L20" s="488"/>
      <c r="M20" s="488"/>
      <c r="N20" s="488"/>
      <c r="O20" s="31"/>
      <c r="P20" s="488" t="s">
        <v>656</v>
      </c>
      <c r="Q20" s="488"/>
      <c r="R20" s="488"/>
      <c r="S20" s="488"/>
      <c r="T20" s="488"/>
      <c r="U20" s="488"/>
    </row>
    <row r="21" spans="1:21">
      <c r="A21" s="212"/>
      <c r="B21" s="32">
        <v>2005</v>
      </c>
      <c r="C21" s="32">
        <v>2006</v>
      </c>
      <c r="D21" s="32">
        <v>2007</v>
      </c>
      <c r="E21" s="32">
        <v>2008</v>
      </c>
      <c r="F21" s="137">
        <v>2009</v>
      </c>
      <c r="G21" s="137">
        <v>2010</v>
      </c>
      <c r="H21" s="33"/>
      <c r="I21" s="32">
        <v>2005</v>
      </c>
      <c r="J21" s="32">
        <v>2006</v>
      </c>
      <c r="K21" s="32">
        <v>2007</v>
      </c>
      <c r="L21" s="32">
        <v>2008</v>
      </c>
      <c r="M21" s="32">
        <v>2009</v>
      </c>
      <c r="N21" s="32">
        <v>2010</v>
      </c>
      <c r="O21" s="33"/>
      <c r="P21" s="32">
        <v>2005</v>
      </c>
      <c r="Q21" s="32">
        <v>2006</v>
      </c>
      <c r="R21" s="32">
        <v>2007</v>
      </c>
      <c r="S21" s="32">
        <v>2008</v>
      </c>
      <c r="T21" s="32">
        <v>2009</v>
      </c>
      <c r="U21" s="32">
        <v>2010</v>
      </c>
    </row>
    <row r="22" spans="1:21" ht="15" customHeight="1">
      <c r="A22" s="109"/>
      <c r="B22" s="507" t="s">
        <v>581</v>
      </c>
      <c r="C22" s="507"/>
      <c r="D22" s="507"/>
      <c r="E22" s="507"/>
      <c r="F22" s="507"/>
      <c r="G22" s="507"/>
      <c r="H22" s="31"/>
      <c r="I22" s="507" t="s">
        <v>409</v>
      </c>
      <c r="J22" s="507"/>
      <c r="K22" s="507"/>
      <c r="L22" s="507"/>
      <c r="M22" s="507"/>
      <c r="N22" s="507"/>
      <c r="O22" s="31"/>
      <c r="P22" s="507" t="s">
        <v>410</v>
      </c>
      <c r="Q22" s="507"/>
      <c r="R22" s="507"/>
      <c r="S22" s="507"/>
      <c r="T22" s="507"/>
      <c r="U22" s="507"/>
    </row>
    <row r="23" spans="1:21" ht="26.25" customHeight="1">
      <c r="A23" s="100" t="s">
        <v>57</v>
      </c>
      <c r="B23" s="104"/>
      <c r="C23" s="104"/>
      <c r="D23" s="104"/>
      <c r="E23" s="104"/>
      <c r="F23" s="104"/>
      <c r="G23" s="104"/>
      <c r="H23" s="75"/>
      <c r="I23" s="104"/>
      <c r="J23" s="104"/>
      <c r="K23" s="104"/>
      <c r="L23" s="104"/>
      <c r="M23" s="104"/>
      <c r="N23" s="104"/>
      <c r="O23" s="75"/>
      <c r="P23" s="104"/>
      <c r="Q23" s="104"/>
      <c r="R23" s="104"/>
      <c r="S23" s="104"/>
      <c r="T23" s="104"/>
      <c r="U23" s="104"/>
    </row>
    <row r="24" spans="1:21">
      <c r="A24" s="59" t="s">
        <v>58</v>
      </c>
      <c r="B24" s="179">
        <v>0.32</v>
      </c>
      <c r="C24" s="179">
        <v>0.33</v>
      </c>
      <c r="D24" s="179">
        <v>0.35</v>
      </c>
      <c r="E24" s="179">
        <v>0.34</v>
      </c>
      <c r="F24" s="179">
        <v>0.32</v>
      </c>
      <c r="G24" s="179">
        <v>0.46</v>
      </c>
      <c r="H24" s="182"/>
      <c r="I24" s="179">
        <f>ROUNDDOWN(B24*1.43,2)</f>
        <v>0.45</v>
      </c>
      <c r="J24" s="179">
        <f>ROUND(C24*1.43,2)</f>
        <v>0.47</v>
      </c>
      <c r="K24" s="179">
        <f>ROUNDUP(D24*1.43,2)</f>
        <v>0.51</v>
      </c>
      <c r="L24" s="179">
        <f>ROUND(E24*1.43,2)</f>
        <v>0.49</v>
      </c>
      <c r="M24" s="179">
        <f>ROUND(F24*1.43,2)</f>
        <v>0.46</v>
      </c>
      <c r="N24" s="179">
        <f>ROUND(G24*1.43,2)</f>
        <v>0.66</v>
      </c>
      <c r="O24" s="182"/>
      <c r="P24" s="179">
        <f>ROUND(B24*7.33,2)</f>
        <v>2.35</v>
      </c>
      <c r="Q24" s="179">
        <f>ROUNDDOWN(C24*7.33,2)</f>
        <v>2.41</v>
      </c>
      <c r="R24" s="179">
        <f>ROUND(D24*7.33,2)</f>
        <v>2.57</v>
      </c>
      <c r="S24" s="179">
        <f>ROUND(E24*7.33,2)</f>
        <v>2.4900000000000002</v>
      </c>
      <c r="T24" s="179">
        <f>ROUNDDOWN(F24*7.33,2)</f>
        <v>2.34</v>
      </c>
      <c r="U24" s="179">
        <f>ROUNDDOWN(G24*7.33,2)</f>
        <v>3.37</v>
      </c>
    </row>
    <row r="25" spans="1:21">
      <c r="A25" s="59" t="s">
        <v>59</v>
      </c>
      <c r="B25" s="179">
        <v>0.32</v>
      </c>
      <c r="C25" s="179">
        <v>0.32</v>
      </c>
      <c r="D25" s="179">
        <v>0.31</v>
      </c>
      <c r="E25" s="179">
        <v>0.3</v>
      </c>
      <c r="F25" s="179">
        <v>0.36</v>
      </c>
      <c r="G25" s="179">
        <v>0.46</v>
      </c>
      <c r="H25" s="182"/>
      <c r="I25" s="179">
        <f t="shared" ref="I25:I34" si="6">ROUND(B25*1.43,2)</f>
        <v>0.46</v>
      </c>
      <c r="J25" s="179">
        <f t="shared" ref="J25:J34" si="7">ROUND(C25*1.43,2)</f>
        <v>0.46</v>
      </c>
      <c r="K25" s="179">
        <f t="shared" ref="K25:K34" si="8">ROUND(D25*1.43,2)</f>
        <v>0.44</v>
      </c>
      <c r="L25" s="179">
        <f t="shared" ref="L25:L33" si="9">ROUND(E25*1.43,2)</f>
        <v>0.43</v>
      </c>
      <c r="M25" s="179">
        <f>ROUNDUP(F25*1.43,2)</f>
        <v>0.52</v>
      </c>
      <c r="N25" s="179">
        <f>ROUNDUP(G25*1.43,2)</f>
        <v>0.66</v>
      </c>
      <c r="O25" s="182"/>
      <c r="P25" s="179">
        <f>ROUND(B25*7.33,2)</f>
        <v>2.35</v>
      </c>
      <c r="Q25" s="179">
        <f t="shared" ref="Q25:Q40" si="10">ROUND(C25*7.33,2)</f>
        <v>2.35</v>
      </c>
      <c r="R25" s="179">
        <f>ROUND(D25*7.33,2)</f>
        <v>2.27</v>
      </c>
      <c r="S25" s="179">
        <f t="shared" ref="S25:S40" si="11">ROUND(E25*7.33,2)</f>
        <v>2.2000000000000002</v>
      </c>
      <c r="T25" s="179">
        <f t="shared" ref="T25:U40" si="12">ROUND(F25*7.33,2)</f>
        <v>2.64</v>
      </c>
      <c r="U25" s="179">
        <f t="shared" si="12"/>
        <v>3.37</v>
      </c>
    </row>
    <row r="26" spans="1:21">
      <c r="A26" s="59" t="s">
        <v>60</v>
      </c>
      <c r="B26" s="179">
        <v>0.32</v>
      </c>
      <c r="C26" s="179">
        <v>0.32</v>
      </c>
      <c r="D26" s="179">
        <v>0.33</v>
      </c>
      <c r="E26" s="179">
        <v>0.31</v>
      </c>
      <c r="F26" s="179">
        <v>0.43</v>
      </c>
      <c r="G26" s="179">
        <v>0.47</v>
      </c>
      <c r="H26" s="182"/>
      <c r="I26" s="179">
        <f t="shared" si="6"/>
        <v>0.46</v>
      </c>
      <c r="J26" s="179">
        <f t="shared" si="7"/>
        <v>0.46</v>
      </c>
      <c r="K26" s="179">
        <f t="shared" si="8"/>
        <v>0.47</v>
      </c>
      <c r="L26" s="179">
        <f t="shared" si="9"/>
        <v>0.44</v>
      </c>
      <c r="M26" s="179">
        <f t="shared" ref="M26:N28" si="13">ROUND(F26*1.43,2)</f>
        <v>0.61</v>
      </c>
      <c r="N26" s="179">
        <f t="shared" si="13"/>
        <v>0.67</v>
      </c>
      <c r="O26" s="182"/>
      <c r="P26" s="179">
        <f>ROUND(B26*7.33,2)</f>
        <v>2.35</v>
      </c>
      <c r="Q26" s="179">
        <f t="shared" si="10"/>
        <v>2.35</v>
      </c>
      <c r="R26" s="179">
        <f>ROUND(D26*7.33,2)</f>
        <v>2.42</v>
      </c>
      <c r="S26" s="179">
        <f t="shared" si="11"/>
        <v>2.27</v>
      </c>
      <c r="T26" s="179">
        <f t="shared" si="12"/>
        <v>3.15</v>
      </c>
      <c r="U26" s="179">
        <f t="shared" si="12"/>
        <v>3.45</v>
      </c>
    </row>
    <row r="27" spans="1:21">
      <c r="A27" s="59" t="s">
        <v>61</v>
      </c>
      <c r="B27" s="179">
        <v>0.33</v>
      </c>
      <c r="C27" s="179">
        <v>0.33</v>
      </c>
      <c r="D27" s="179">
        <v>0.33</v>
      </c>
      <c r="E27" s="179">
        <v>0.32</v>
      </c>
      <c r="F27" s="179">
        <v>0.44</v>
      </c>
      <c r="G27" s="179">
        <v>0.46</v>
      </c>
      <c r="H27" s="182"/>
      <c r="I27" s="179">
        <f>ROUNDDOWN(B27*1.43,2)</f>
        <v>0.47</v>
      </c>
      <c r="J27" s="179">
        <f t="shared" si="7"/>
        <v>0.47</v>
      </c>
      <c r="K27" s="179">
        <f t="shared" si="8"/>
        <v>0.47</v>
      </c>
      <c r="L27" s="179">
        <f t="shared" si="9"/>
        <v>0.46</v>
      </c>
      <c r="M27" s="179">
        <f t="shared" si="13"/>
        <v>0.63</v>
      </c>
      <c r="N27" s="179">
        <f t="shared" si="13"/>
        <v>0.66</v>
      </c>
      <c r="O27" s="182"/>
      <c r="P27" s="179">
        <f>ROUNDDOWN(B27*7.33,2)</f>
        <v>2.41</v>
      </c>
      <c r="Q27" s="179">
        <f t="shared" si="10"/>
        <v>2.42</v>
      </c>
      <c r="R27" s="179">
        <f>ROUND(D27*7.33,2)</f>
        <v>2.42</v>
      </c>
      <c r="S27" s="179">
        <f t="shared" si="11"/>
        <v>2.35</v>
      </c>
      <c r="T27" s="179">
        <f t="shared" si="12"/>
        <v>3.23</v>
      </c>
      <c r="U27" s="179">
        <f t="shared" si="12"/>
        <v>3.37</v>
      </c>
    </row>
    <row r="28" spans="1:21" ht="13.8" thickBot="1">
      <c r="A28" s="215" t="s">
        <v>62</v>
      </c>
      <c r="B28" s="220">
        <v>1.29</v>
      </c>
      <c r="C28" s="220">
        <v>1.3</v>
      </c>
      <c r="D28" s="220">
        <v>1.32</v>
      </c>
      <c r="E28" s="220">
        <v>1.27</v>
      </c>
      <c r="F28" s="220">
        <v>1.55</v>
      </c>
      <c r="G28" s="220">
        <v>1.85</v>
      </c>
      <c r="H28" s="221"/>
      <c r="I28" s="220">
        <f t="shared" si="6"/>
        <v>1.84</v>
      </c>
      <c r="J28" s="220">
        <f t="shared" si="7"/>
        <v>1.86</v>
      </c>
      <c r="K28" s="220">
        <f t="shared" si="8"/>
        <v>1.89</v>
      </c>
      <c r="L28" s="220">
        <f t="shared" si="9"/>
        <v>1.82</v>
      </c>
      <c r="M28" s="220">
        <f t="shared" si="13"/>
        <v>2.2200000000000002</v>
      </c>
      <c r="N28" s="220">
        <f t="shared" si="13"/>
        <v>2.65</v>
      </c>
      <c r="O28" s="221"/>
      <c r="P28" s="220">
        <f>ROUND(B28*7.33,2)</f>
        <v>9.4600000000000009</v>
      </c>
      <c r="Q28" s="220">
        <f t="shared" si="10"/>
        <v>9.5299999999999994</v>
      </c>
      <c r="R28" s="220">
        <f>ROUND(D28*7.33,2)</f>
        <v>9.68</v>
      </c>
      <c r="S28" s="220">
        <f t="shared" si="11"/>
        <v>9.31</v>
      </c>
      <c r="T28" s="220">
        <f t="shared" si="12"/>
        <v>11.36</v>
      </c>
      <c r="U28" s="220">
        <f t="shared" si="12"/>
        <v>13.56</v>
      </c>
    </row>
    <row r="29" spans="1:21" ht="24" customHeight="1">
      <c r="A29" s="100" t="s">
        <v>24</v>
      </c>
      <c r="B29" s="56"/>
      <c r="C29" s="104"/>
      <c r="D29" s="104"/>
      <c r="E29" s="104"/>
      <c r="F29" s="104"/>
      <c r="G29" s="104"/>
      <c r="H29" s="75"/>
      <c r="I29" s="56"/>
      <c r="J29" s="104"/>
      <c r="K29" s="104"/>
      <c r="L29" s="104"/>
      <c r="M29" s="104"/>
      <c r="N29" s="104"/>
      <c r="O29" s="57"/>
      <c r="P29" s="104"/>
      <c r="Q29" s="104"/>
      <c r="R29" s="104"/>
      <c r="S29" s="104"/>
      <c r="T29" s="56"/>
      <c r="U29" s="104"/>
    </row>
    <row r="30" spans="1:21">
      <c r="A30" s="59" t="s">
        <v>58</v>
      </c>
      <c r="B30" s="67">
        <v>0</v>
      </c>
      <c r="C30" s="67">
        <v>7.85</v>
      </c>
      <c r="D30" s="67">
        <v>8.18</v>
      </c>
      <c r="E30" s="67">
        <v>7.84</v>
      </c>
      <c r="F30" s="67">
        <v>7.26</v>
      </c>
      <c r="G30" s="67">
        <v>7.34</v>
      </c>
      <c r="H30" s="214"/>
      <c r="I30" s="67">
        <f t="shared" si="6"/>
        <v>0</v>
      </c>
      <c r="J30" s="67">
        <f t="shared" si="7"/>
        <v>11.23</v>
      </c>
      <c r="K30" s="67">
        <f t="shared" si="8"/>
        <v>11.7</v>
      </c>
      <c r="L30" s="67">
        <f t="shared" si="9"/>
        <v>11.21</v>
      </c>
      <c r="M30" s="67">
        <f>ROUNDUP(F30*1.43,2)</f>
        <v>10.39</v>
      </c>
      <c r="N30" s="67">
        <f>ROUNDUP(G30*1.43,2)</f>
        <v>10.5</v>
      </c>
      <c r="O30" s="214"/>
      <c r="P30" s="67">
        <f>ROUND(B30*7.33,2)</f>
        <v>0</v>
      </c>
      <c r="Q30" s="67">
        <f t="shared" si="10"/>
        <v>57.54</v>
      </c>
      <c r="R30" s="67">
        <f>ROUNDDOWN(D30*7.33,2)</f>
        <v>59.95</v>
      </c>
      <c r="S30" s="67">
        <f t="shared" si="11"/>
        <v>57.47</v>
      </c>
      <c r="T30" s="67">
        <f>ROUNDDOWN(F30*7.33,2)</f>
        <v>53.21</v>
      </c>
      <c r="U30" s="67">
        <f>ROUNDDOWN(G30*7.33,2)</f>
        <v>53.8</v>
      </c>
    </row>
    <row r="31" spans="1:21">
      <c r="A31" s="59" t="s">
        <v>59</v>
      </c>
      <c r="B31" s="67">
        <v>0</v>
      </c>
      <c r="C31" s="67">
        <v>8.27</v>
      </c>
      <c r="D31" s="67">
        <v>8.17</v>
      </c>
      <c r="E31" s="67">
        <v>7.71</v>
      </c>
      <c r="F31" s="67">
        <v>7.42</v>
      </c>
      <c r="G31" s="67">
        <v>7.54</v>
      </c>
      <c r="H31" s="214"/>
      <c r="I31" s="67">
        <f t="shared" si="6"/>
        <v>0</v>
      </c>
      <c r="J31" s="67">
        <f t="shared" si="7"/>
        <v>11.83</v>
      </c>
      <c r="K31" s="67">
        <f t="shared" si="8"/>
        <v>11.68</v>
      </c>
      <c r="L31" s="67">
        <f>ROUND(E31*1.43,2)</f>
        <v>11.03</v>
      </c>
      <c r="M31" s="67">
        <f>ROUND(F31*1.43,2)</f>
        <v>10.61</v>
      </c>
      <c r="N31" s="67">
        <f>ROUND(G31*1.43,2)</f>
        <v>10.78</v>
      </c>
      <c r="O31" s="214"/>
      <c r="P31" s="67">
        <f>ROUND(B31*7.33,2)</f>
        <v>0</v>
      </c>
      <c r="Q31" s="67">
        <f t="shared" si="10"/>
        <v>60.62</v>
      </c>
      <c r="R31" s="67">
        <f>ROUND(D31*7.33,2)</f>
        <v>59.89</v>
      </c>
      <c r="S31" s="67">
        <f t="shared" si="11"/>
        <v>56.51</v>
      </c>
      <c r="T31" s="67">
        <f t="shared" si="12"/>
        <v>54.39</v>
      </c>
      <c r="U31" s="67">
        <f t="shared" si="12"/>
        <v>55.27</v>
      </c>
    </row>
    <row r="32" spans="1:21">
      <c r="A32" s="59" t="s">
        <v>60</v>
      </c>
      <c r="B32" s="67">
        <v>0</v>
      </c>
      <c r="C32" s="67">
        <v>8.24</v>
      </c>
      <c r="D32" s="67">
        <v>8.15</v>
      </c>
      <c r="E32" s="67">
        <v>7.71</v>
      </c>
      <c r="F32" s="67">
        <v>7.73</v>
      </c>
      <c r="G32" s="67">
        <v>7.72</v>
      </c>
      <c r="H32" s="214"/>
      <c r="I32" s="67">
        <f t="shared" si="6"/>
        <v>0</v>
      </c>
      <c r="J32" s="67">
        <f t="shared" si="7"/>
        <v>11.78</v>
      </c>
      <c r="K32" s="67">
        <f t="shared" si="8"/>
        <v>11.65</v>
      </c>
      <c r="L32" s="67">
        <f>ROUNDDOWN(E32*1.43,2)</f>
        <v>11.02</v>
      </c>
      <c r="M32" s="67">
        <f>ROUND(F32*1.43,2)</f>
        <v>11.05</v>
      </c>
      <c r="N32" s="67">
        <f>ROUNDDOWN(G32*1.43,2)</f>
        <v>11.03</v>
      </c>
      <c r="O32" s="214"/>
      <c r="P32" s="67">
        <f>ROUND(B32*7.33,2)</f>
        <v>0</v>
      </c>
      <c r="Q32" s="67">
        <f t="shared" si="10"/>
        <v>60.4</v>
      </c>
      <c r="R32" s="67">
        <f>ROUND(D32*7.33,2)</f>
        <v>59.74</v>
      </c>
      <c r="S32" s="67">
        <f t="shared" si="11"/>
        <v>56.51</v>
      </c>
      <c r="T32" s="67">
        <f t="shared" si="12"/>
        <v>56.66</v>
      </c>
      <c r="U32" s="67">
        <f t="shared" si="12"/>
        <v>56.59</v>
      </c>
    </row>
    <row r="33" spans="1:21">
      <c r="A33" s="59" t="s">
        <v>61</v>
      </c>
      <c r="B33" s="67">
        <v>8.1999999999999993</v>
      </c>
      <c r="C33" s="67">
        <v>8.36</v>
      </c>
      <c r="D33" s="67">
        <v>8.16</v>
      </c>
      <c r="E33" s="67">
        <v>7.52</v>
      </c>
      <c r="F33" s="67">
        <v>7.66</v>
      </c>
      <c r="G33" s="67">
        <v>7.56</v>
      </c>
      <c r="H33" s="214"/>
      <c r="I33" s="67">
        <f t="shared" si="6"/>
        <v>11.73</v>
      </c>
      <c r="J33" s="67">
        <f t="shared" si="7"/>
        <v>11.95</v>
      </c>
      <c r="K33" s="67">
        <f t="shared" si="8"/>
        <v>11.67</v>
      </c>
      <c r="L33" s="67">
        <f t="shared" si="9"/>
        <v>10.75</v>
      </c>
      <c r="M33" s="67">
        <f>ROUND(F33*1.43,2)</f>
        <v>10.95</v>
      </c>
      <c r="N33" s="67">
        <f>ROUND(G33*1.43,2)</f>
        <v>10.81</v>
      </c>
      <c r="O33" s="214"/>
      <c r="P33" s="67">
        <f>ROUNDDOWN(B33*7.33,2)</f>
        <v>60.1</v>
      </c>
      <c r="Q33" s="67">
        <f t="shared" si="10"/>
        <v>61.28</v>
      </c>
      <c r="R33" s="67">
        <f>ROUND(D33*7.33,2)</f>
        <v>59.81</v>
      </c>
      <c r="S33" s="67">
        <f>ROUNDUP(E33*7.33,2)</f>
        <v>55.129999999999995</v>
      </c>
      <c r="T33" s="67">
        <f t="shared" si="12"/>
        <v>56.15</v>
      </c>
      <c r="U33" s="67">
        <f t="shared" si="12"/>
        <v>55.41</v>
      </c>
    </row>
    <row r="34" spans="1:21" ht="13.8" thickBot="1">
      <c r="A34" s="215" t="s">
        <v>62</v>
      </c>
      <c r="B34" s="216">
        <v>8.1999999999999993</v>
      </c>
      <c r="C34" s="216">
        <v>32.72</v>
      </c>
      <c r="D34" s="216">
        <v>32.659999999999997</v>
      </c>
      <c r="E34" s="216">
        <v>30.78</v>
      </c>
      <c r="F34" s="216">
        <v>30.07</v>
      </c>
      <c r="G34" s="216">
        <v>30.16</v>
      </c>
      <c r="H34" s="217"/>
      <c r="I34" s="216">
        <f t="shared" si="6"/>
        <v>11.73</v>
      </c>
      <c r="J34" s="216">
        <f t="shared" si="7"/>
        <v>46.79</v>
      </c>
      <c r="K34" s="216">
        <f t="shared" si="8"/>
        <v>46.7</v>
      </c>
      <c r="L34" s="216">
        <f>ROUNDDOWN(E34*1.43,2)</f>
        <v>44.01</v>
      </c>
      <c r="M34" s="216">
        <f>ROUND(F34*1.43,2)</f>
        <v>43</v>
      </c>
      <c r="N34" s="216">
        <f>ROUNDDOWN(G34*1.43,2)</f>
        <v>43.12</v>
      </c>
      <c r="O34" s="217"/>
      <c r="P34" s="216">
        <f>ROUNDDOWN(B34*7.33,2)</f>
        <v>60.1</v>
      </c>
      <c r="Q34" s="216">
        <f t="shared" si="10"/>
        <v>239.84</v>
      </c>
      <c r="R34" s="216">
        <f>ROUNDDOWN(D34*7.33,2)</f>
        <v>239.39</v>
      </c>
      <c r="S34" s="216">
        <f t="shared" si="11"/>
        <v>225.62</v>
      </c>
      <c r="T34" s="216">
        <f t="shared" si="12"/>
        <v>220.41</v>
      </c>
      <c r="U34" s="216">
        <f t="shared" si="12"/>
        <v>221.07</v>
      </c>
    </row>
    <row r="35" spans="1:21">
      <c r="A35" s="100" t="s">
        <v>1070</v>
      </c>
      <c r="B35" s="104"/>
      <c r="C35" s="104"/>
      <c r="D35" s="104"/>
      <c r="E35" s="104"/>
      <c r="F35" s="104"/>
      <c r="G35" s="104"/>
      <c r="H35" s="75"/>
      <c r="I35" s="104"/>
      <c r="J35" s="104"/>
      <c r="K35" s="104"/>
      <c r="L35" s="104"/>
      <c r="M35" s="104"/>
      <c r="N35" s="104"/>
      <c r="O35" s="75"/>
      <c r="P35" s="104"/>
      <c r="Q35" s="104"/>
      <c r="R35" s="104"/>
      <c r="S35" s="104"/>
      <c r="T35" s="104"/>
      <c r="U35" s="104"/>
    </row>
    <row r="36" spans="1:21">
      <c r="A36" s="59" t="s">
        <v>58</v>
      </c>
      <c r="B36" s="179">
        <v>0.32</v>
      </c>
      <c r="C36" s="179">
        <v>8.18</v>
      </c>
      <c r="D36" s="179">
        <v>8.5299999999999994</v>
      </c>
      <c r="E36" s="179">
        <v>8.18</v>
      </c>
      <c r="F36" s="179">
        <v>7.58</v>
      </c>
      <c r="G36" s="179">
        <v>7.8</v>
      </c>
      <c r="H36" s="182"/>
      <c r="I36" s="179">
        <f t="shared" ref="I36:N39" si="14">I30+I24</f>
        <v>0.45</v>
      </c>
      <c r="J36" s="179">
        <f t="shared" si="14"/>
        <v>11.700000000000001</v>
      </c>
      <c r="K36" s="179">
        <f t="shared" si="14"/>
        <v>12.209999999999999</v>
      </c>
      <c r="L36" s="179">
        <f t="shared" si="14"/>
        <v>11.700000000000001</v>
      </c>
      <c r="M36" s="179">
        <f t="shared" si="14"/>
        <v>10.850000000000001</v>
      </c>
      <c r="N36" s="179">
        <f t="shared" si="14"/>
        <v>11.16</v>
      </c>
      <c r="O36" s="182"/>
      <c r="P36" s="179">
        <f t="shared" ref="P36:U39" si="15">P30+P24</f>
        <v>2.35</v>
      </c>
      <c r="Q36" s="179">
        <f t="shared" si="15"/>
        <v>59.95</v>
      </c>
      <c r="R36" s="179">
        <f t="shared" si="15"/>
        <v>62.52</v>
      </c>
      <c r="S36" s="179">
        <f t="shared" si="15"/>
        <v>59.96</v>
      </c>
      <c r="T36" s="179">
        <f t="shared" si="15"/>
        <v>55.55</v>
      </c>
      <c r="U36" s="179">
        <f t="shared" si="15"/>
        <v>57.169999999999995</v>
      </c>
    </row>
    <row r="37" spans="1:21">
      <c r="A37" s="59" t="s">
        <v>59</v>
      </c>
      <c r="B37" s="179">
        <v>0.32</v>
      </c>
      <c r="C37" s="179">
        <v>8.59</v>
      </c>
      <c r="D37" s="179">
        <v>8.48</v>
      </c>
      <c r="E37" s="179">
        <v>8.01</v>
      </c>
      <c r="F37" s="179">
        <v>7.78</v>
      </c>
      <c r="G37" s="179">
        <v>8</v>
      </c>
      <c r="H37" s="182"/>
      <c r="I37" s="179">
        <f t="shared" si="14"/>
        <v>0.46</v>
      </c>
      <c r="J37" s="179">
        <f t="shared" si="14"/>
        <v>12.290000000000001</v>
      </c>
      <c r="K37" s="179">
        <f t="shared" si="14"/>
        <v>12.12</v>
      </c>
      <c r="L37" s="179">
        <f t="shared" si="14"/>
        <v>11.459999999999999</v>
      </c>
      <c r="M37" s="179">
        <f t="shared" si="14"/>
        <v>11.129999999999999</v>
      </c>
      <c r="N37" s="179">
        <f t="shared" si="14"/>
        <v>11.44</v>
      </c>
      <c r="O37" s="182"/>
      <c r="P37" s="179">
        <f t="shared" si="15"/>
        <v>2.35</v>
      </c>
      <c r="Q37" s="179">
        <f t="shared" si="15"/>
        <v>62.97</v>
      </c>
      <c r="R37" s="179">
        <f t="shared" si="15"/>
        <v>62.160000000000004</v>
      </c>
      <c r="S37" s="179">
        <f t="shared" si="15"/>
        <v>58.71</v>
      </c>
      <c r="T37" s="179">
        <f t="shared" si="15"/>
        <v>57.03</v>
      </c>
      <c r="U37" s="179">
        <f t="shared" si="15"/>
        <v>58.64</v>
      </c>
    </row>
    <row r="38" spans="1:21">
      <c r="A38" s="59" t="s">
        <v>60</v>
      </c>
      <c r="B38" s="179">
        <v>0.32</v>
      </c>
      <c r="C38" s="179">
        <v>8.56</v>
      </c>
      <c r="D38" s="179">
        <v>8.48</v>
      </c>
      <c r="E38" s="179">
        <v>8.02</v>
      </c>
      <c r="F38" s="179">
        <v>8.16</v>
      </c>
      <c r="G38" s="179">
        <v>8.19</v>
      </c>
      <c r="H38" s="182"/>
      <c r="I38" s="179">
        <f t="shared" si="14"/>
        <v>0.46</v>
      </c>
      <c r="J38" s="179">
        <f t="shared" si="14"/>
        <v>12.24</v>
      </c>
      <c r="K38" s="179">
        <f t="shared" si="14"/>
        <v>12.120000000000001</v>
      </c>
      <c r="L38" s="179">
        <f t="shared" si="14"/>
        <v>11.459999999999999</v>
      </c>
      <c r="M38" s="179">
        <f t="shared" si="14"/>
        <v>11.66</v>
      </c>
      <c r="N38" s="179">
        <f t="shared" si="14"/>
        <v>11.7</v>
      </c>
      <c r="O38" s="182"/>
      <c r="P38" s="179">
        <f t="shared" si="15"/>
        <v>2.35</v>
      </c>
      <c r="Q38" s="179">
        <f t="shared" si="15"/>
        <v>62.75</v>
      </c>
      <c r="R38" s="179">
        <f t="shared" si="15"/>
        <v>62.160000000000004</v>
      </c>
      <c r="S38" s="179">
        <f t="shared" si="15"/>
        <v>58.78</v>
      </c>
      <c r="T38" s="179">
        <f t="shared" si="15"/>
        <v>59.809999999999995</v>
      </c>
      <c r="U38" s="179">
        <f t="shared" si="15"/>
        <v>60.040000000000006</v>
      </c>
    </row>
    <row r="39" spans="1:21">
      <c r="A39" s="59" t="s">
        <v>61</v>
      </c>
      <c r="B39" s="179">
        <v>8.5299999999999994</v>
      </c>
      <c r="C39" s="179">
        <v>8.69</v>
      </c>
      <c r="D39" s="179">
        <v>8.49</v>
      </c>
      <c r="E39" s="179">
        <v>7.84</v>
      </c>
      <c r="F39" s="179">
        <v>8.1</v>
      </c>
      <c r="G39" s="179">
        <v>8.02</v>
      </c>
      <c r="H39" s="182"/>
      <c r="I39" s="179">
        <f t="shared" si="14"/>
        <v>12.200000000000001</v>
      </c>
      <c r="J39" s="179">
        <f t="shared" si="14"/>
        <v>12.42</v>
      </c>
      <c r="K39" s="179">
        <f t="shared" si="14"/>
        <v>12.14</v>
      </c>
      <c r="L39" s="179">
        <f t="shared" si="14"/>
        <v>11.21</v>
      </c>
      <c r="M39" s="179">
        <f t="shared" si="14"/>
        <v>11.58</v>
      </c>
      <c r="N39" s="179">
        <f t="shared" si="14"/>
        <v>11.47</v>
      </c>
      <c r="O39" s="182"/>
      <c r="P39" s="179">
        <f t="shared" si="15"/>
        <v>62.510000000000005</v>
      </c>
      <c r="Q39" s="179">
        <f t="shared" si="15"/>
        <v>63.7</v>
      </c>
      <c r="R39" s="179">
        <f t="shared" si="15"/>
        <v>62.230000000000004</v>
      </c>
      <c r="S39" s="179">
        <f t="shared" si="15"/>
        <v>57.48</v>
      </c>
      <c r="T39" s="179">
        <f t="shared" si="15"/>
        <v>59.379999999999995</v>
      </c>
      <c r="U39" s="179">
        <f t="shared" si="15"/>
        <v>58.779999999999994</v>
      </c>
    </row>
    <row r="40" spans="1:21" ht="13.8" thickBot="1">
      <c r="A40" s="218" t="s">
        <v>62</v>
      </c>
      <c r="B40" s="222">
        <v>9.49</v>
      </c>
      <c r="C40" s="222">
        <v>34.020000000000003</v>
      </c>
      <c r="D40" s="222">
        <v>33.979999999999997</v>
      </c>
      <c r="E40" s="222">
        <v>32.049999999999997</v>
      </c>
      <c r="F40" s="222">
        <v>31.62</v>
      </c>
      <c r="G40" s="222">
        <v>32.01</v>
      </c>
      <c r="H40" s="221"/>
      <c r="I40" s="222">
        <f t="shared" ref="I40:N40" si="16">ROUND(B40*1.43,2)</f>
        <v>13.57</v>
      </c>
      <c r="J40" s="222">
        <f t="shared" si="16"/>
        <v>48.65</v>
      </c>
      <c r="K40" s="222">
        <f t="shared" si="16"/>
        <v>48.59</v>
      </c>
      <c r="L40" s="222">
        <f t="shared" si="16"/>
        <v>45.83</v>
      </c>
      <c r="M40" s="222">
        <f t="shared" si="16"/>
        <v>45.22</v>
      </c>
      <c r="N40" s="222">
        <f t="shared" si="16"/>
        <v>45.77</v>
      </c>
      <c r="O40" s="221"/>
      <c r="P40" s="222">
        <f>ROUND(B40*7.33,2)</f>
        <v>69.56</v>
      </c>
      <c r="Q40" s="222">
        <f t="shared" si="10"/>
        <v>249.37</v>
      </c>
      <c r="R40" s="222">
        <f>ROUND(D40*7.33,2)</f>
        <v>249.07</v>
      </c>
      <c r="S40" s="222">
        <f t="shared" si="11"/>
        <v>234.93</v>
      </c>
      <c r="T40" s="222">
        <f t="shared" si="12"/>
        <v>231.77</v>
      </c>
      <c r="U40" s="222">
        <f t="shared" si="12"/>
        <v>234.63</v>
      </c>
    </row>
    <row r="41" spans="1:21" ht="13.8" thickTop="1">
      <c r="A41" s="499" t="s">
        <v>382</v>
      </c>
      <c r="B41" s="499"/>
      <c r="C41" s="499"/>
      <c r="D41" s="499"/>
      <c r="E41" s="499"/>
      <c r="F41" s="499"/>
      <c r="G41" s="499"/>
      <c r="H41" s="499"/>
      <c r="I41" s="499"/>
      <c r="J41" s="499"/>
      <c r="K41" s="499"/>
      <c r="L41" s="499"/>
      <c r="M41" s="499"/>
      <c r="N41" s="499"/>
      <c r="O41" s="499"/>
      <c r="P41" s="499"/>
      <c r="Q41" s="499"/>
      <c r="R41" s="499"/>
      <c r="S41" s="499"/>
      <c r="T41" s="499"/>
      <c r="U41" s="499"/>
    </row>
    <row r="42" spans="1:21">
      <c r="A42" s="28"/>
      <c r="B42" s="28"/>
      <c r="C42" s="28"/>
      <c r="D42" s="28"/>
      <c r="E42" s="28"/>
      <c r="F42" s="28"/>
      <c r="G42" s="28"/>
      <c r="H42" s="29"/>
      <c r="I42" s="28"/>
      <c r="J42" s="28"/>
      <c r="K42" s="28"/>
      <c r="L42" s="28"/>
      <c r="M42" s="28"/>
      <c r="N42" s="28"/>
      <c r="O42" s="29"/>
      <c r="P42" s="28"/>
      <c r="Q42" s="28"/>
      <c r="R42" s="28"/>
      <c r="S42" s="28"/>
      <c r="T42" s="28"/>
      <c r="U42" s="28"/>
    </row>
    <row r="43" spans="1:21">
      <c r="A43" s="487" t="s">
        <v>776</v>
      </c>
      <c r="B43" s="487"/>
      <c r="C43" s="487"/>
      <c r="D43" s="487"/>
      <c r="E43" s="487"/>
      <c r="F43" s="487"/>
      <c r="G43" s="487"/>
      <c r="H43" s="487"/>
    </row>
    <row r="44" spans="1:21" hidden="1"/>
    <row r="45" spans="1:21" hidden="1"/>
    <row r="46" spans="1:21" hidden="1"/>
    <row r="47" spans="1:21" hidden="1"/>
  </sheetData>
  <sheetProtection password="CAF1" sheet="1" formatCells="0" formatColumns="0" formatRows="0" insertColumns="0" insertRows="0" insertHyperlinks="0" deleteColumns="0" deleteRows="0" sort="0" autoFilter="0" pivotTables="0"/>
  <mergeCells count="15">
    <mergeCell ref="I2:N2"/>
    <mergeCell ref="P2:U2"/>
    <mergeCell ref="B2:G2"/>
    <mergeCell ref="A17:U17"/>
    <mergeCell ref="A43:H43"/>
    <mergeCell ref="B4:G4"/>
    <mergeCell ref="B22:G22"/>
    <mergeCell ref="I4:N4"/>
    <mergeCell ref="I22:N22"/>
    <mergeCell ref="A41:U41"/>
    <mergeCell ref="P4:U4"/>
    <mergeCell ref="P22:U22"/>
    <mergeCell ref="B20:G20"/>
    <mergeCell ref="I20:N20"/>
    <mergeCell ref="P20:U20"/>
  </mergeCells>
  <phoneticPr fontId="27" type="noConversion"/>
  <hyperlinks>
    <hyperlink ref="A43:H43" location="Титул!A1" display="Вернуться к Содержанию"/>
  </hyperlinks>
  <pageMargins left="0.23622047244094491" right="0.23622047244094491" top="0.74803149606299213" bottom="0.74803149606299213" header="0.31496062992125984" footer="0.31496062992125984"/>
  <pageSetup paperSize="9" firstPageNumber="18" orientation="landscape" useFirstPageNumber="1" r:id="rId1"/>
  <headerFooter alignWithMargins="0">
    <oddHeader>&amp;L&amp;"Times New Roman,полужирный"Газпром в цифрах 2006-2010 гг.&amp;R&amp;"Times New Roman,полужирный"Справочник</oddHeader>
    <oddFooter>&amp;C&amp;P</oddFooter>
  </headerFooter>
  <rowBreaks count="1" manualBreakCount="1">
    <brk id="34" max="20" man="1"/>
  </rowBreaks>
</worksheet>
</file>

<file path=xl/worksheets/sheet15.xml><?xml version="1.0" encoding="utf-8"?>
<worksheet xmlns="http://schemas.openxmlformats.org/spreadsheetml/2006/main" xmlns:r="http://schemas.openxmlformats.org/officeDocument/2006/relationships">
  <sheetPr codeName="Лист15"/>
  <dimension ref="A1:U37"/>
  <sheetViews>
    <sheetView zoomScaleNormal="100" zoomScaleSheetLayoutView="100" workbookViewId="0"/>
  </sheetViews>
  <sheetFormatPr defaultColWidth="0" defaultRowHeight="13.2" zeroHeight="1" outlineLevelCol="1"/>
  <cols>
    <col min="1" max="1" width="30.6640625" style="4" customWidth="1"/>
    <col min="2" max="2" width="8.44140625" style="4" hidden="1" customWidth="1" outlineLevel="1"/>
    <col min="3" max="3" width="7.5546875" style="4" customWidth="1" collapsed="1"/>
    <col min="4" max="7" width="7.5546875" style="4" customWidth="1"/>
    <col min="8" max="8" width="1.33203125" style="4" customWidth="1"/>
    <col min="9" max="9" width="7.109375" style="4" hidden="1" customWidth="1" outlineLevel="1"/>
    <col min="10" max="10" width="7.5546875" style="4" customWidth="1" collapsed="1"/>
    <col min="11" max="14" width="7.5546875" style="4" customWidth="1"/>
    <col min="15" max="15" width="1.33203125" style="4" customWidth="1"/>
    <col min="16" max="16" width="7.5546875" style="4" hidden="1" customWidth="1" outlineLevel="1"/>
    <col min="17" max="17" width="7.5546875" style="4" customWidth="1" collapsed="1"/>
    <col min="18" max="21" width="7.5546875" style="4" customWidth="1"/>
    <col min="22" max="16384" width="0" style="4" hidden="1"/>
  </cols>
  <sheetData>
    <row r="1" spans="1:21" s="12" customFormat="1" ht="15.6">
      <c r="A1" s="27" t="s">
        <v>894</v>
      </c>
      <c r="B1" s="28"/>
      <c r="C1" s="28"/>
      <c r="D1" s="28"/>
      <c r="E1" s="28"/>
      <c r="F1" s="28"/>
      <c r="G1" s="28"/>
      <c r="H1" s="29"/>
      <c r="I1" s="28"/>
      <c r="J1" s="28"/>
      <c r="K1" s="28"/>
      <c r="L1" s="28"/>
      <c r="M1" s="28"/>
      <c r="N1" s="28"/>
      <c r="O1" s="29"/>
      <c r="P1" s="28"/>
      <c r="Q1" s="28"/>
      <c r="R1" s="28"/>
      <c r="S1" s="28"/>
      <c r="T1" s="28"/>
      <c r="U1" s="28"/>
    </row>
    <row r="2" spans="1:21">
      <c r="A2" s="30"/>
      <c r="B2" s="488" t="s">
        <v>656</v>
      </c>
      <c r="C2" s="488"/>
      <c r="D2" s="488"/>
      <c r="E2" s="488"/>
      <c r="F2" s="488"/>
      <c r="G2" s="24"/>
      <c r="H2" s="31"/>
      <c r="I2" s="488" t="s">
        <v>656</v>
      </c>
      <c r="J2" s="488"/>
      <c r="K2" s="488"/>
      <c r="L2" s="488"/>
      <c r="M2" s="488"/>
      <c r="N2" s="24"/>
      <c r="O2" s="31"/>
      <c r="P2" s="488" t="s">
        <v>656</v>
      </c>
      <c r="Q2" s="488"/>
      <c r="R2" s="488"/>
      <c r="S2" s="488"/>
      <c r="T2" s="488"/>
      <c r="U2" s="24"/>
    </row>
    <row r="3" spans="1:21">
      <c r="A3" s="30" t="s">
        <v>380</v>
      </c>
      <c r="B3" s="32">
        <v>2005</v>
      </c>
      <c r="C3" s="32">
        <v>2006</v>
      </c>
      <c r="D3" s="32">
        <v>2007</v>
      </c>
      <c r="E3" s="32">
        <v>2008</v>
      </c>
      <c r="F3" s="32">
        <v>2009</v>
      </c>
      <c r="G3" s="32">
        <v>2010</v>
      </c>
      <c r="H3" s="33"/>
      <c r="I3" s="32">
        <v>2005</v>
      </c>
      <c r="J3" s="32">
        <v>2006</v>
      </c>
      <c r="K3" s="32">
        <v>2007</v>
      </c>
      <c r="L3" s="32">
        <v>2008</v>
      </c>
      <c r="M3" s="32">
        <v>2009</v>
      </c>
      <c r="N3" s="32">
        <v>2010</v>
      </c>
      <c r="O3" s="33"/>
      <c r="P3" s="32">
        <v>2005</v>
      </c>
      <c r="Q3" s="32">
        <v>2006</v>
      </c>
      <c r="R3" s="32">
        <v>2007</v>
      </c>
      <c r="S3" s="32">
        <v>2008</v>
      </c>
      <c r="T3" s="32">
        <v>2009</v>
      </c>
      <c r="U3" s="32">
        <v>2010</v>
      </c>
    </row>
    <row r="4" spans="1:21" ht="12.75" customHeight="1">
      <c r="A4" s="34"/>
      <c r="B4" s="511" t="s">
        <v>419</v>
      </c>
      <c r="C4" s="511"/>
      <c r="D4" s="511"/>
      <c r="E4" s="511"/>
      <c r="F4" s="511"/>
      <c r="G4" s="511"/>
      <c r="H4" s="35"/>
      <c r="I4" s="511" t="s">
        <v>566</v>
      </c>
      <c r="J4" s="511"/>
      <c r="K4" s="511"/>
      <c r="L4" s="511"/>
      <c r="M4" s="511"/>
      <c r="N4" s="511"/>
      <c r="O4" s="35"/>
      <c r="P4" s="511" t="s">
        <v>567</v>
      </c>
      <c r="Q4" s="511"/>
      <c r="R4" s="511"/>
      <c r="S4" s="511"/>
      <c r="T4" s="511"/>
      <c r="U4" s="511"/>
    </row>
    <row r="5" spans="1:21">
      <c r="A5" s="36" t="s">
        <v>30</v>
      </c>
      <c r="B5" s="37">
        <v>516.39</v>
      </c>
      <c r="C5" s="37">
        <v>517.88</v>
      </c>
      <c r="D5" s="37">
        <v>510.57</v>
      </c>
      <c r="E5" s="37">
        <v>512.16999999999996</v>
      </c>
      <c r="F5" s="37">
        <v>427.44</v>
      </c>
      <c r="G5" s="37">
        <v>471.67</v>
      </c>
      <c r="H5" s="38"/>
      <c r="I5" s="37">
        <f>ROUNDUP(B5*1.154,2)</f>
        <v>595.91999999999996</v>
      </c>
      <c r="J5" s="37">
        <f>ROUNDUP(C5*1.154,2)</f>
        <v>597.64</v>
      </c>
      <c r="K5" s="37">
        <f t="shared" ref="K5:N10" si="0">ROUND(D5*1.154,2)</f>
        <v>589.20000000000005</v>
      </c>
      <c r="L5" s="37">
        <f t="shared" si="0"/>
        <v>591.04</v>
      </c>
      <c r="M5" s="37">
        <f>ROUNDDOWN(F5*1.154,2)</f>
        <v>493.26</v>
      </c>
      <c r="N5" s="37">
        <f t="shared" si="0"/>
        <v>544.30999999999995</v>
      </c>
      <c r="O5" s="38"/>
      <c r="P5" s="37">
        <f t="shared" ref="P5:P10" si="1">ROUND(B5*5.89,2)</f>
        <v>3041.54</v>
      </c>
      <c r="Q5" s="37">
        <f>ROUNDUP(C5*5.89,2)</f>
        <v>3050.32</v>
      </c>
      <c r="R5" s="37">
        <f t="shared" ref="R5:R10" si="2">ROUND(D5*5.89,2)</f>
        <v>3007.26</v>
      </c>
      <c r="S5" s="37">
        <f>ROUNDUP(E5*5.89,2)</f>
        <v>3016.69</v>
      </c>
      <c r="T5" s="37">
        <f>ROUND(F5*5.89,2)</f>
        <v>2517.62</v>
      </c>
      <c r="U5" s="37">
        <f>ROUND(G5*5.89,2)</f>
        <v>2778.14</v>
      </c>
    </row>
    <row r="6" spans="1:21">
      <c r="A6" s="36" t="s">
        <v>31</v>
      </c>
      <c r="B6" s="37">
        <v>2.82</v>
      </c>
      <c r="C6" s="37">
        <v>2.75</v>
      </c>
      <c r="D6" s="37">
        <v>2.75</v>
      </c>
      <c r="E6" s="37">
        <v>2.64</v>
      </c>
      <c r="F6" s="37">
        <v>2.54</v>
      </c>
      <c r="G6" s="37">
        <v>2.52</v>
      </c>
      <c r="H6" s="38"/>
      <c r="I6" s="37">
        <f t="shared" ref="I6:J10" si="3">ROUND(B6*1.154,2)</f>
        <v>3.25</v>
      </c>
      <c r="J6" s="37">
        <f t="shared" si="3"/>
        <v>3.17</v>
      </c>
      <c r="K6" s="37">
        <f t="shared" si="0"/>
        <v>3.17</v>
      </c>
      <c r="L6" s="37">
        <f t="shared" si="0"/>
        <v>3.05</v>
      </c>
      <c r="M6" s="37">
        <f t="shared" ref="M6:N10" si="4">ROUND(F6*1.154,2)</f>
        <v>2.93</v>
      </c>
      <c r="N6" s="37">
        <f t="shared" si="4"/>
        <v>2.91</v>
      </c>
      <c r="O6" s="38"/>
      <c r="P6" s="37">
        <f t="shared" si="1"/>
        <v>16.61</v>
      </c>
      <c r="Q6" s="37">
        <f>ROUND(C6*5.89,2)</f>
        <v>16.2</v>
      </c>
      <c r="R6" s="37">
        <f t="shared" si="2"/>
        <v>16.2</v>
      </c>
      <c r="S6" s="37">
        <f>ROUND(E6*5.89,2)</f>
        <v>15.55</v>
      </c>
      <c r="T6" s="37">
        <f>ROUND(F6*5.89,2)</f>
        <v>14.96</v>
      </c>
      <c r="U6" s="37">
        <f>ROUND(G6*5.89,2)</f>
        <v>14.84</v>
      </c>
    </row>
    <row r="7" spans="1:21">
      <c r="A7" s="36" t="s">
        <v>32</v>
      </c>
      <c r="B7" s="37">
        <v>13.55</v>
      </c>
      <c r="C7" s="37">
        <v>13.36</v>
      </c>
      <c r="D7" s="37">
        <v>13.37</v>
      </c>
      <c r="E7" s="37">
        <v>13.23</v>
      </c>
      <c r="F7" s="37">
        <v>10.76</v>
      </c>
      <c r="G7" s="37">
        <v>13.01</v>
      </c>
      <c r="H7" s="38"/>
      <c r="I7" s="37">
        <f t="shared" si="3"/>
        <v>15.64</v>
      </c>
      <c r="J7" s="37">
        <f t="shared" si="3"/>
        <v>15.42</v>
      </c>
      <c r="K7" s="37">
        <f t="shared" si="0"/>
        <v>15.43</v>
      </c>
      <c r="L7" s="37">
        <f t="shared" si="0"/>
        <v>15.27</v>
      </c>
      <c r="M7" s="37">
        <f t="shared" si="4"/>
        <v>12.42</v>
      </c>
      <c r="N7" s="37">
        <f t="shared" si="4"/>
        <v>15.01</v>
      </c>
      <c r="O7" s="38"/>
      <c r="P7" s="37">
        <f t="shared" si="1"/>
        <v>79.81</v>
      </c>
      <c r="Q7" s="37">
        <f>ROUND(C7*5.89,2)</f>
        <v>78.69</v>
      </c>
      <c r="R7" s="37">
        <f t="shared" si="2"/>
        <v>78.75</v>
      </c>
      <c r="S7" s="37">
        <f>ROUND(E7*5.89,2)</f>
        <v>77.92</v>
      </c>
      <c r="T7" s="37">
        <f>ROUNDDOWN(F7*5.89,2)</f>
        <v>63.37</v>
      </c>
      <c r="U7" s="37">
        <f>ROUND(G7*5.89,2)</f>
        <v>76.63</v>
      </c>
    </row>
    <row r="8" spans="1:21">
      <c r="A8" s="36" t="s">
        <v>33</v>
      </c>
      <c r="B8" s="37">
        <v>18.72</v>
      </c>
      <c r="C8" s="37">
        <v>18.64</v>
      </c>
      <c r="D8" s="37">
        <v>18.7</v>
      </c>
      <c r="E8" s="37">
        <v>18.71</v>
      </c>
      <c r="F8" s="37">
        <v>17.850000000000001</v>
      </c>
      <c r="G8" s="37">
        <v>18.59</v>
      </c>
      <c r="H8" s="38"/>
      <c r="I8" s="37">
        <f t="shared" si="3"/>
        <v>21.6</v>
      </c>
      <c r="J8" s="37">
        <f t="shared" si="3"/>
        <v>21.51</v>
      </c>
      <c r="K8" s="37">
        <f t="shared" si="0"/>
        <v>21.58</v>
      </c>
      <c r="L8" s="37">
        <f t="shared" si="0"/>
        <v>21.59</v>
      </c>
      <c r="M8" s="37">
        <f t="shared" si="4"/>
        <v>20.6</v>
      </c>
      <c r="N8" s="37">
        <f t="shared" si="4"/>
        <v>21.45</v>
      </c>
      <c r="O8" s="38"/>
      <c r="P8" s="37">
        <f t="shared" si="1"/>
        <v>110.26</v>
      </c>
      <c r="Q8" s="37">
        <f>ROUND(C8*5.89,2)</f>
        <v>109.79</v>
      </c>
      <c r="R8" s="37">
        <f t="shared" si="2"/>
        <v>110.14</v>
      </c>
      <c r="S8" s="37">
        <f>ROUND(E8*5.89,2)</f>
        <v>110.2</v>
      </c>
      <c r="T8" s="37">
        <f>ROUND(F8*5.89,2)</f>
        <v>105.14</v>
      </c>
      <c r="U8" s="37">
        <f>ROUND(G8*5.89,2)</f>
        <v>109.5</v>
      </c>
    </row>
    <row r="9" spans="1:21" s="14" customFormat="1" ht="13.8" thickBot="1">
      <c r="A9" s="468" t="s">
        <v>381</v>
      </c>
      <c r="B9" s="37">
        <v>3.52</v>
      </c>
      <c r="C9" s="37">
        <v>3.32</v>
      </c>
      <c r="D9" s="37">
        <v>3.16</v>
      </c>
      <c r="E9" s="37">
        <v>2.98</v>
      </c>
      <c r="F9" s="37">
        <v>2.93</v>
      </c>
      <c r="G9" s="37">
        <v>2.8</v>
      </c>
      <c r="H9" s="38"/>
      <c r="I9" s="37">
        <f t="shared" si="3"/>
        <v>4.0599999999999996</v>
      </c>
      <c r="J9" s="37">
        <f t="shared" si="3"/>
        <v>3.83</v>
      </c>
      <c r="K9" s="37">
        <f t="shared" si="0"/>
        <v>3.65</v>
      </c>
      <c r="L9" s="37">
        <f t="shared" si="0"/>
        <v>3.44</v>
      </c>
      <c r="M9" s="37">
        <f t="shared" si="4"/>
        <v>3.38</v>
      </c>
      <c r="N9" s="37">
        <f t="shared" si="4"/>
        <v>3.23</v>
      </c>
      <c r="O9" s="38"/>
      <c r="P9" s="37">
        <f t="shared" si="1"/>
        <v>20.73</v>
      </c>
      <c r="Q9" s="37">
        <f>ROUND(C9*5.89,2)</f>
        <v>19.55</v>
      </c>
      <c r="R9" s="37">
        <f t="shared" si="2"/>
        <v>18.61</v>
      </c>
      <c r="S9" s="37">
        <f>ROUND(E9*5.89,2)</f>
        <v>17.55</v>
      </c>
      <c r="T9" s="37">
        <f>ROUND(F9*5.89,2)</f>
        <v>17.260000000000002</v>
      </c>
      <c r="U9" s="37">
        <f>ROUND(G9*5.89,2)</f>
        <v>16.489999999999998</v>
      </c>
    </row>
    <row r="10" spans="1:21">
      <c r="A10" s="239" t="s">
        <v>580</v>
      </c>
      <c r="B10" s="40">
        <v>555</v>
      </c>
      <c r="C10" s="40">
        <v>555.95000000000005</v>
      </c>
      <c r="D10" s="40">
        <v>548.54999999999995</v>
      </c>
      <c r="E10" s="40">
        <v>549.73</v>
      </c>
      <c r="F10" s="40">
        <v>461.52</v>
      </c>
      <c r="G10" s="40">
        <v>508.59</v>
      </c>
      <c r="H10" s="41"/>
      <c r="I10" s="40">
        <f t="shared" si="3"/>
        <v>640.47</v>
      </c>
      <c r="J10" s="40">
        <f t="shared" si="3"/>
        <v>641.57000000000005</v>
      </c>
      <c r="K10" s="40">
        <f t="shared" si="0"/>
        <v>633.03</v>
      </c>
      <c r="L10" s="40">
        <f t="shared" si="0"/>
        <v>634.39</v>
      </c>
      <c r="M10" s="40">
        <f t="shared" si="4"/>
        <v>532.59</v>
      </c>
      <c r="N10" s="40">
        <f t="shared" si="4"/>
        <v>586.91</v>
      </c>
      <c r="O10" s="41"/>
      <c r="P10" s="40">
        <f t="shared" si="1"/>
        <v>3268.95</v>
      </c>
      <c r="Q10" s="40">
        <f>ROUND(C10*5.89,2)</f>
        <v>3274.55</v>
      </c>
      <c r="R10" s="40">
        <f t="shared" si="2"/>
        <v>3230.96</v>
      </c>
      <c r="S10" s="40">
        <f>ROUND(E10*5.89,2)</f>
        <v>3237.91</v>
      </c>
      <c r="T10" s="40">
        <f>ROUND(F10*5.89,2)</f>
        <v>2718.35</v>
      </c>
      <c r="U10" s="40">
        <f>ROUND(G10*5.89,2)</f>
        <v>2995.6</v>
      </c>
    </row>
    <row r="11" spans="1:21" ht="12.75" customHeight="1">
      <c r="A11" s="34"/>
      <c r="B11" s="511" t="s">
        <v>573</v>
      </c>
      <c r="C11" s="511"/>
      <c r="D11" s="511"/>
      <c r="E11" s="511"/>
      <c r="F11" s="511"/>
      <c r="G11" s="511"/>
      <c r="H11" s="35"/>
      <c r="I11" s="511" t="s">
        <v>532</v>
      </c>
      <c r="J11" s="511"/>
      <c r="K11" s="511"/>
      <c r="L11" s="511"/>
      <c r="M11" s="511"/>
      <c r="N11" s="511"/>
      <c r="O11" s="35"/>
      <c r="P11" s="511" t="s">
        <v>533</v>
      </c>
      <c r="Q11" s="511"/>
      <c r="R11" s="511"/>
      <c r="S11" s="511"/>
      <c r="T11" s="511"/>
      <c r="U11" s="511"/>
    </row>
    <row r="12" spans="1:21">
      <c r="A12" s="36" t="s">
        <v>30</v>
      </c>
      <c r="B12" s="37">
        <v>6.38</v>
      </c>
      <c r="C12" s="37">
        <v>6.29</v>
      </c>
      <c r="D12" s="37">
        <v>6.22</v>
      </c>
      <c r="E12" s="37">
        <v>5.95</v>
      </c>
      <c r="F12" s="37">
        <v>6.04</v>
      </c>
      <c r="G12" s="37">
        <v>6.34</v>
      </c>
      <c r="H12" s="38"/>
      <c r="I12" s="37">
        <f>ROUNDUP(B12*1.43,2)</f>
        <v>9.129999999999999</v>
      </c>
      <c r="J12" s="37">
        <f t="shared" ref="J12:J17" si="5">ROUND(C12*1.43,2)</f>
        <v>8.99</v>
      </c>
      <c r="K12" s="37">
        <f>ROUNDUP(D12*1.43,2)</f>
        <v>8.9</v>
      </c>
      <c r="L12" s="37">
        <f t="shared" ref="L12:N17" si="6">ROUND(E12*1.43,2)</f>
        <v>8.51</v>
      </c>
      <c r="M12" s="37">
        <f t="shared" si="6"/>
        <v>8.64</v>
      </c>
      <c r="N12" s="37">
        <f>ROUNDDOWN(G12*1.43,2)</f>
        <v>9.06</v>
      </c>
      <c r="O12" s="38"/>
      <c r="P12" s="37">
        <f t="shared" ref="P12:U17" si="7">ROUND(B12*8.18,2)</f>
        <v>52.19</v>
      </c>
      <c r="Q12" s="37">
        <f t="shared" si="7"/>
        <v>51.45</v>
      </c>
      <c r="R12" s="37">
        <f t="shared" si="7"/>
        <v>50.88</v>
      </c>
      <c r="S12" s="37">
        <f t="shared" si="7"/>
        <v>48.67</v>
      </c>
      <c r="T12" s="37">
        <f>ROUNDDOWN(F12*8.18,2)</f>
        <v>49.4</v>
      </c>
      <c r="U12" s="37">
        <f t="shared" si="7"/>
        <v>51.86</v>
      </c>
    </row>
    <row r="13" spans="1:21">
      <c r="A13" s="36" t="s">
        <v>31</v>
      </c>
      <c r="B13" s="37">
        <v>0.25</v>
      </c>
      <c r="C13" s="37">
        <v>0.23</v>
      </c>
      <c r="D13" s="37">
        <v>0.21</v>
      </c>
      <c r="E13" s="37">
        <v>0.19</v>
      </c>
      <c r="F13" s="37">
        <v>0.17</v>
      </c>
      <c r="G13" s="37">
        <v>0.15</v>
      </c>
      <c r="H13" s="38"/>
      <c r="I13" s="37">
        <f>ROUND(B13*1.43,2)</f>
        <v>0.36</v>
      </c>
      <c r="J13" s="37">
        <f t="shared" si="5"/>
        <v>0.33</v>
      </c>
      <c r="K13" s="37">
        <f>ROUND(D13*1.43,2)</f>
        <v>0.3</v>
      </c>
      <c r="L13" s="37">
        <f t="shared" si="6"/>
        <v>0.27</v>
      </c>
      <c r="M13" s="37">
        <f t="shared" si="6"/>
        <v>0.24</v>
      </c>
      <c r="N13" s="37">
        <f t="shared" si="6"/>
        <v>0.21</v>
      </c>
      <c r="O13" s="38"/>
      <c r="P13" s="37">
        <f t="shared" si="7"/>
        <v>2.0499999999999998</v>
      </c>
      <c r="Q13" s="37">
        <f t="shared" si="7"/>
        <v>1.88</v>
      </c>
      <c r="R13" s="37">
        <f t="shared" si="7"/>
        <v>1.72</v>
      </c>
      <c r="S13" s="37">
        <f t="shared" si="7"/>
        <v>1.55</v>
      </c>
      <c r="T13" s="37">
        <f>ROUND(F13*8.18,2)</f>
        <v>1.39</v>
      </c>
      <c r="U13" s="37">
        <f t="shared" si="7"/>
        <v>1.23</v>
      </c>
    </row>
    <row r="14" spans="1:21">
      <c r="A14" s="36" t="s">
        <v>32</v>
      </c>
      <c r="B14" s="37">
        <v>4.24</v>
      </c>
      <c r="C14" s="37">
        <v>4.25</v>
      </c>
      <c r="D14" s="37">
        <v>4.2699999999999996</v>
      </c>
      <c r="E14" s="37">
        <v>4.26</v>
      </c>
      <c r="F14" s="37">
        <v>3.35</v>
      </c>
      <c r="G14" s="37">
        <v>4.1399999999999997</v>
      </c>
      <c r="H14" s="38"/>
      <c r="I14" s="37">
        <f>ROUND(B14*1.43,2)</f>
        <v>6.06</v>
      </c>
      <c r="J14" s="37">
        <f t="shared" si="5"/>
        <v>6.08</v>
      </c>
      <c r="K14" s="37">
        <f>ROUND(D14*1.43,2)</f>
        <v>6.11</v>
      </c>
      <c r="L14" s="37">
        <f t="shared" si="6"/>
        <v>6.09</v>
      </c>
      <c r="M14" s="37">
        <f t="shared" si="6"/>
        <v>4.79</v>
      </c>
      <c r="N14" s="37">
        <f t="shared" si="6"/>
        <v>5.92</v>
      </c>
      <c r="O14" s="38"/>
      <c r="P14" s="37">
        <f t="shared" si="7"/>
        <v>34.68</v>
      </c>
      <c r="Q14" s="37">
        <f t="shared" si="7"/>
        <v>34.770000000000003</v>
      </c>
      <c r="R14" s="37">
        <f t="shared" si="7"/>
        <v>34.93</v>
      </c>
      <c r="S14" s="37">
        <f t="shared" si="7"/>
        <v>34.85</v>
      </c>
      <c r="T14" s="37">
        <f>ROUND(F14*8.18,2)</f>
        <v>27.4</v>
      </c>
      <c r="U14" s="37">
        <f>ROUNDDOWN(G14*8.18,2)</f>
        <v>33.86</v>
      </c>
    </row>
    <row r="15" spans="1:21">
      <c r="A15" s="36" t="s">
        <v>36</v>
      </c>
      <c r="B15" s="37">
        <v>0.27</v>
      </c>
      <c r="C15" s="37">
        <v>0.27</v>
      </c>
      <c r="D15" s="37">
        <v>0.28000000000000003</v>
      </c>
      <c r="E15" s="37">
        <v>0.27</v>
      </c>
      <c r="F15" s="37">
        <v>0.26</v>
      </c>
      <c r="G15" s="37">
        <v>0.27</v>
      </c>
      <c r="H15" s="38"/>
      <c r="I15" s="37">
        <f>ROUND(B15*1.43,2)</f>
        <v>0.39</v>
      </c>
      <c r="J15" s="37">
        <f t="shared" si="5"/>
        <v>0.39</v>
      </c>
      <c r="K15" s="37">
        <f>ROUND(D15*1.43,2)</f>
        <v>0.4</v>
      </c>
      <c r="L15" s="37">
        <f t="shared" si="6"/>
        <v>0.39</v>
      </c>
      <c r="M15" s="37">
        <f t="shared" si="6"/>
        <v>0.37</v>
      </c>
      <c r="N15" s="37">
        <f t="shared" si="6"/>
        <v>0.39</v>
      </c>
      <c r="O15" s="38"/>
      <c r="P15" s="37">
        <f t="shared" si="7"/>
        <v>2.21</v>
      </c>
      <c r="Q15" s="37">
        <f t="shared" si="7"/>
        <v>2.21</v>
      </c>
      <c r="R15" s="37">
        <f t="shared" si="7"/>
        <v>2.29</v>
      </c>
      <c r="S15" s="37">
        <f t="shared" si="7"/>
        <v>2.21</v>
      </c>
      <c r="T15" s="37">
        <f>ROUND(F15*8.18,2)</f>
        <v>2.13</v>
      </c>
      <c r="U15" s="37">
        <f t="shared" si="7"/>
        <v>2.21</v>
      </c>
    </row>
    <row r="16" spans="1:21" ht="13.8" thickBot="1">
      <c r="A16" s="468" t="s">
        <v>381</v>
      </c>
      <c r="B16" s="37">
        <v>0.36</v>
      </c>
      <c r="C16" s="37">
        <v>0.33</v>
      </c>
      <c r="D16" s="37">
        <v>0.28999999999999998</v>
      </c>
      <c r="E16" s="37">
        <v>0.26</v>
      </c>
      <c r="F16" s="37">
        <v>0.25</v>
      </c>
      <c r="G16" s="37">
        <v>0.39</v>
      </c>
      <c r="H16" s="38"/>
      <c r="I16" s="37">
        <f>ROUND(B16*1.43,2)</f>
        <v>0.51</v>
      </c>
      <c r="J16" s="37">
        <f t="shared" si="5"/>
        <v>0.47</v>
      </c>
      <c r="K16" s="37">
        <f>ROUND(D16*1.43,2)</f>
        <v>0.41</v>
      </c>
      <c r="L16" s="37">
        <f t="shared" si="6"/>
        <v>0.37</v>
      </c>
      <c r="M16" s="37">
        <f t="shared" si="6"/>
        <v>0.36</v>
      </c>
      <c r="N16" s="37">
        <f t="shared" si="6"/>
        <v>0.56000000000000005</v>
      </c>
      <c r="O16" s="38"/>
      <c r="P16" s="37">
        <f t="shared" si="7"/>
        <v>2.94</v>
      </c>
      <c r="Q16" s="37">
        <f t="shared" si="7"/>
        <v>2.7</v>
      </c>
      <c r="R16" s="37">
        <f t="shared" si="7"/>
        <v>2.37</v>
      </c>
      <c r="S16" s="37">
        <f t="shared" si="7"/>
        <v>2.13</v>
      </c>
      <c r="T16" s="37">
        <f>ROUND(F16*8.18,2)</f>
        <v>2.0499999999999998</v>
      </c>
      <c r="U16" s="37">
        <f t="shared" si="7"/>
        <v>3.19</v>
      </c>
    </row>
    <row r="17" spans="1:21" s="14" customFormat="1">
      <c r="A17" s="39" t="s">
        <v>580</v>
      </c>
      <c r="B17" s="40">
        <v>11.5</v>
      </c>
      <c r="C17" s="40">
        <v>11.37</v>
      </c>
      <c r="D17" s="40">
        <v>11.27</v>
      </c>
      <c r="E17" s="40">
        <v>10.93</v>
      </c>
      <c r="F17" s="40">
        <v>10.07</v>
      </c>
      <c r="G17" s="40">
        <v>11.29</v>
      </c>
      <c r="H17" s="41"/>
      <c r="I17" s="40">
        <f>ROUND(B17*1.43,2)</f>
        <v>16.45</v>
      </c>
      <c r="J17" s="40">
        <f t="shared" si="5"/>
        <v>16.260000000000002</v>
      </c>
      <c r="K17" s="40">
        <f>ROUND(D17*1.43,2)</f>
        <v>16.12</v>
      </c>
      <c r="L17" s="40">
        <f t="shared" si="6"/>
        <v>15.63</v>
      </c>
      <c r="M17" s="40">
        <f t="shared" si="6"/>
        <v>14.4</v>
      </c>
      <c r="N17" s="40">
        <f t="shared" si="6"/>
        <v>16.14</v>
      </c>
      <c r="O17" s="41"/>
      <c r="P17" s="40">
        <f t="shared" si="7"/>
        <v>94.07</v>
      </c>
      <c r="Q17" s="40">
        <f t="shared" si="7"/>
        <v>93.01</v>
      </c>
      <c r="R17" s="40">
        <f t="shared" si="7"/>
        <v>92.19</v>
      </c>
      <c r="S17" s="40">
        <f t="shared" si="7"/>
        <v>89.41</v>
      </c>
      <c r="T17" s="40">
        <f>ROUND(F17*8.18,2)</f>
        <v>82.37</v>
      </c>
      <c r="U17" s="40">
        <f>ROUND(G17*8.18,2)</f>
        <v>92.35</v>
      </c>
    </row>
    <row r="18" spans="1:21" ht="12.75" customHeight="1">
      <c r="A18" s="34"/>
      <c r="B18" s="511" t="s">
        <v>574</v>
      </c>
      <c r="C18" s="511"/>
      <c r="D18" s="511"/>
      <c r="E18" s="511"/>
      <c r="F18" s="511"/>
      <c r="G18" s="511"/>
      <c r="H18" s="35"/>
      <c r="I18" s="511" t="s">
        <v>534</v>
      </c>
      <c r="J18" s="511"/>
      <c r="K18" s="511"/>
      <c r="L18" s="511"/>
      <c r="M18" s="511"/>
      <c r="N18" s="511"/>
      <c r="O18" s="35"/>
      <c r="P18" s="511" t="s">
        <v>535</v>
      </c>
      <c r="Q18" s="511"/>
      <c r="R18" s="511"/>
      <c r="S18" s="511"/>
      <c r="T18" s="511"/>
      <c r="U18" s="511"/>
    </row>
    <row r="19" spans="1:21">
      <c r="A19" s="36" t="s">
        <v>30</v>
      </c>
      <c r="B19" s="37">
        <v>8.43</v>
      </c>
      <c r="C19" s="37">
        <v>31.92</v>
      </c>
      <c r="D19" s="37">
        <v>31.74</v>
      </c>
      <c r="E19" s="37">
        <v>29.6</v>
      </c>
      <c r="F19" s="37">
        <v>28.91</v>
      </c>
      <c r="G19" s="37">
        <v>28.73</v>
      </c>
      <c r="H19" s="38"/>
      <c r="I19" s="37">
        <f>ROUNDUP(B19*1.43,2)</f>
        <v>12.06</v>
      </c>
      <c r="J19" s="37">
        <f>ROUNDDOWN(C19*1.43,2)</f>
        <v>45.64</v>
      </c>
      <c r="K19" s="37">
        <f t="shared" ref="K19:N24" si="8">ROUND(D19*1.43,2)</f>
        <v>45.39</v>
      </c>
      <c r="L19" s="37">
        <f t="shared" si="8"/>
        <v>42.33</v>
      </c>
      <c r="M19" s="37">
        <f t="shared" si="8"/>
        <v>41.34</v>
      </c>
      <c r="N19" s="37">
        <f t="shared" si="8"/>
        <v>41.08</v>
      </c>
      <c r="O19" s="38"/>
      <c r="P19" s="37">
        <f t="shared" ref="P19:U19" si="9">ROUND(B19*7.33,2)</f>
        <v>61.79</v>
      </c>
      <c r="Q19" s="37">
        <f t="shared" si="9"/>
        <v>233.97</v>
      </c>
      <c r="R19" s="37">
        <f t="shared" si="9"/>
        <v>232.65</v>
      </c>
      <c r="S19" s="37">
        <f t="shared" si="9"/>
        <v>216.97</v>
      </c>
      <c r="T19" s="37">
        <f t="shared" si="9"/>
        <v>211.91</v>
      </c>
      <c r="U19" s="37">
        <f t="shared" si="9"/>
        <v>210.59</v>
      </c>
    </row>
    <row r="20" spans="1:21">
      <c r="A20" s="36" t="s">
        <v>31</v>
      </c>
      <c r="B20" s="37">
        <v>0.09</v>
      </c>
      <c r="C20" s="37">
        <v>7.0000000000000007E-2</v>
      </c>
      <c r="D20" s="37">
        <v>0.08</v>
      </c>
      <c r="E20" s="37">
        <v>7.0000000000000007E-2</v>
      </c>
      <c r="F20" s="37">
        <v>0.06</v>
      </c>
      <c r="G20" s="37">
        <v>0.06</v>
      </c>
      <c r="H20" s="38"/>
      <c r="I20" s="37">
        <f t="shared" ref="I20:J24" si="10">ROUND(B20*1.43,2)</f>
        <v>0.13</v>
      </c>
      <c r="J20" s="37">
        <f t="shared" si="10"/>
        <v>0.1</v>
      </c>
      <c r="K20" s="37">
        <f t="shared" si="8"/>
        <v>0.11</v>
      </c>
      <c r="L20" s="37">
        <f t="shared" si="8"/>
        <v>0.1</v>
      </c>
      <c r="M20" s="37">
        <f t="shared" si="8"/>
        <v>0.09</v>
      </c>
      <c r="N20" s="37">
        <f t="shared" si="8"/>
        <v>0.09</v>
      </c>
      <c r="O20" s="38"/>
      <c r="P20" s="37">
        <f t="shared" ref="P20:Q24" si="11">ROUND(B20*7.33,2)</f>
        <v>0.66</v>
      </c>
      <c r="Q20" s="37">
        <f t="shared" si="11"/>
        <v>0.51</v>
      </c>
      <c r="R20" s="37">
        <f>ROUNDDOWN(D20*7.33,2)</f>
        <v>0.57999999999999996</v>
      </c>
      <c r="S20" s="37">
        <f>ROUNDUP(E20*7.33,2)</f>
        <v>0.52</v>
      </c>
      <c r="T20" s="37">
        <f t="shared" ref="T20:U24" si="12">ROUND(F20*7.33,2)</f>
        <v>0.44</v>
      </c>
      <c r="U20" s="37">
        <f t="shared" si="12"/>
        <v>0.44</v>
      </c>
    </row>
    <row r="21" spans="1:21">
      <c r="A21" s="36" t="s">
        <v>32</v>
      </c>
      <c r="B21" s="37">
        <v>0.12</v>
      </c>
      <c r="C21" s="37">
        <v>0.11</v>
      </c>
      <c r="D21" s="37">
        <v>0.08</v>
      </c>
      <c r="E21" s="37">
        <v>0.08</v>
      </c>
      <c r="F21" s="37">
        <v>0.12</v>
      </c>
      <c r="G21" s="37">
        <v>0.16</v>
      </c>
      <c r="H21" s="38"/>
      <c r="I21" s="37">
        <f t="shared" si="10"/>
        <v>0.17</v>
      </c>
      <c r="J21" s="37">
        <f t="shared" si="10"/>
        <v>0.16</v>
      </c>
      <c r="K21" s="37">
        <f t="shared" si="8"/>
        <v>0.11</v>
      </c>
      <c r="L21" s="37">
        <f t="shared" si="8"/>
        <v>0.11</v>
      </c>
      <c r="M21" s="37">
        <f t="shared" si="8"/>
        <v>0.17</v>
      </c>
      <c r="N21" s="37">
        <f t="shared" si="8"/>
        <v>0.23</v>
      </c>
      <c r="O21" s="38"/>
      <c r="P21" s="37">
        <f t="shared" si="11"/>
        <v>0.88</v>
      </c>
      <c r="Q21" s="37">
        <f t="shared" si="11"/>
        <v>0.81</v>
      </c>
      <c r="R21" s="37">
        <f t="shared" ref="R21:S24" si="13">ROUND(D21*7.33,2)</f>
        <v>0.59</v>
      </c>
      <c r="S21" s="37">
        <f t="shared" si="13"/>
        <v>0.59</v>
      </c>
      <c r="T21" s="37">
        <f t="shared" si="12"/>
        <v>0.88</v>
      </c>
      <c r="U21" s="37">
        <f t="shared" si="12"/>
        <v>1.17</v>
      </c>
    </row>
    <row r="22" spans="1:21">
      <c r="A22" s="36" t="s">
        <v>33</v>
      </c>
      <c r="B22" s="37">
        <v>0.56000000000000005</v>
      </c>
      <c r="C22" s="37">
        <v>0.6</v>
      </c>
      <c r="D22" s="37">
        <v>0.64</v>
      </c>
      <c r="E22" s="37">
        <v>0.68</v>
      </c>
      <c r="F22" s="37">
        <v>0.7</v>
      </c>
      <c r="G22" s="37">
        <v>0.69</v>
      </c>
      <c r="H22" s="38"/>
      <c r="I22" s="37">
        <f t="shared" si="10"/>
        <v>0.8</v>
      </c>
      <c r="J22" s="37">
        <f t="shared" si="10"/>
        <v>0.86</v>
      </c>
      <c r="K22" s="37">
        <f t="shared" si="8"/>
        <v>0.92</v>
      </c>
      <c r="L22" s="37">
        <f t="shared" si="8"/>
        <v>0.97</v>
      </c>
      <c r="M22" s="37">
        <f t="shared" si="8"/>
        <v>1</v>
      </c>
      <c r="N22" s="37">
        <f t="shared" si="8"/>
        <v>0.99</v>
      </c>
      <c r="O22" s="38"/>
      <c r="P22" s="37">
        <f t="shared" si="11"/>
        <v>4.0999999999999996</v>
      </c>
      <c r="Q22" s="37">
        <f t="shared" si="11"/>
        <v>4.4000000000000004</v>
      </c>
      <c r="R22" s="37">
        <f t="shared" si="13"/>
        <v>4.6900000000000004</v>
      </c>
      <c r="S22" s="37">
        <f t="shared" si="13"/>
        <v>4.9800000000000004</v>
      </c>
      <c r="T22" s="37">
        <f t="shared" si="12"/>
        <v>5.13</v>
      </c>
      <c r="U22" s="37">
        <f t="shared" si="12"/>
        <v>5.0599999999999996</v>
      </c>
    </row>
    <row r="23" spans="1:21" ht="13.8" thickBot="1">
      <c r="A23" s="468" t="s">
        <v>381</v>
      </c>
      <c r="B23" s="37">
        <v>0.28999999999999998</v>
      </c>
      <c r="C23" s="37">
        <v>1.32</v>
      </c>
      <c r="D23" s="37">
        <v>1.44</v>
      </c>
      <c r="E23" s="37">
        <v>1.62</v>
      </c>
      <c r="F23" s="37">
        <v>1.83</v>
      </c>
      <c r="G23" s="37">
        <v>2.37</v>
      </c>
      <c r="H23" s="38"/>
      <c r="I23" s="37">
        <f t="shared" si="10"/>
        <v>0.41</v>
      </c>
      <c r="J23" s="37">
        <f t="shared" si="10"/>
        <v>1.89</v>
      </c>
      <c r="K23" s="37">
        <f t="shared" si="8"/>
        <v>2.06</v>
      </c>
      <c r="L23" s="37">
        <f t="shared" si="8"/>
        <v>2.3199999999999998</v>
      </c>
      <c r="M23" s="37">
        <f t="shared" si="8"/>
        <v>2.62</v>
      </c>
      <c r="N23" s="37">
        <f>ROUNDDOWN(G23*1.43,2)</f>
        <v>3.38</v>
      </c>
      <c r="O23" s="38"/>
      <c r="P23" s="37">
        <f t="shared" si="11"/>
        <v>2.13</v>
      </c>
      <c r="Q23" s="37">
        <f t="shared" si="11"/>
        <v>9.68</v>
      </c>
      <c r="R23" s="37">
        <f t="shared" si="13"/>
        <v>10.56</v>
      </c>
      <c r="S23" s="37">
        <f t="shared" si="13"/>
        <v>11.87</v>
      </c>
      <c r="T23" s="37">
        <f t="shared" si="12"/>
        <v>13.41</v>
      </c>
      <c r="U23" s="37">
        <f t="shared" si="12"/>
        <v>17.37</v>
      </c>
    </row>
    <row r="24" spans="1:21" ht="12.75" customHeight="1">
      <c r="A24" s="39" t="s">
        <v>580</v>
      </c>
      <c r="B24" s="40">
        <v>9.49</v>
      </c>
      <c r="C24" s="40">
        <v>34.020000000000003</v>
      </c>
      <c r="D24" s="40">
        <v>33.979999999999997</v>
      </c>
      <c r="E24" s="40">
        <v>32.049999999999997</v>
      </c>
      <c r="F24" s="40">
        <v>31.62</v>
      </c>
      <c r="G24" s="40">
        <v>32.01</v>
      </c>
      <c r="H24" s="41"/>
      <c r="I24" s="40">
        <f t="shared" si="10"/>
        <v>13.57</v>
      </c>
      <c r="J24" s="40">
        <f t="shared" si="10"/>
        <v>48.65</v>
      </c>
      <c r="K24" s="40">
        <f t="shared" si="8"/>
        <v>48.59</v>
      </c>
      <c r="L24" s="40">
        <f t="shared" si="8"/>
        <v>45.83</v>
      </c>
      <c r="M24" s="40">
        <f t="shared" si="8"/>
        <v>45.22</v>
      </c>
      <c r="N24" s="40">
        <f t="shared" si="8"/>
        <v>45.77</v>
      </c>
      <c r="O24" s="41"/>
      <c r="P24" s="40">
        <f t="shared" si="11"/>
        <v>69.56</v>
      </c>
      <c r="Q24" s="40">
        <f t="shared" si="11"/>
        <v>249.37</v>
      </c>
      <c r="R24" s="40">
        <f t="shared" si="13"/>
        <v>249.07</v>
      </c>
      <c r="S24" s="40">
        <f t="shared" si="13"/>
        <v>234.93</v>
      </c>
      <c r="T24" s="40">
        <f t="shared" si="12"/>
        <v>231.77</v>
      </c>
      <c r="U24" s="40">
        <f t="shared" si="12"/>
        <v>234.63</v>
      </c>
    </row>
    <row r="25" spans="1:21" s="14" customFormat="1" ht="12.75" customHeight="1">
      <c r="A25" s="34"/>
      <c r="B25" s="34"/>
      <c r="C25" s="34"/>
      <c r="D25" s="34"/>
      <c r="E25" s="34"/>
      <c r="F25" s="34"/>
      <c r="G25" s="34"/>
      <c r="H25" s="35"/>
      <c r="I25" s="511" t="s">
        <v>536</v>
      </c>
      <c r="J25" s="511"/>
      <c r="K25" s="511"/>
      <c r="L25" s="511"/>
      <c r="M25" s="511"/>
      <c r="N25" s="511"/>
      <c r="O25" s="35"/>
      <c r="P25" s="511" t="s">
        <v>537</v>
      </c>
      <c r="Q25" s="511"/>
      <c r="R25" s="511"/>
      <c r="S25" s="511"/>
      <c r="T25" s="511"/>
      <c r="U25" s="511"/>
    </row>
    <row r="26" spans="1:21">
      <c r="A26" s="36" t="s">
        <v>30</v>
      </c>
      <c r="B26" s="42" t="s">
        <v>420</v>
      </c>
      <c r="C26" s="42" t="s">
        <v>420</v>
      </c>
      <c r="D26" s="42" t="s">
        <v>420</v>
      </c>
      <c r="E26" s="42" t="s">
        <v>420</v>
      </c>
      <c r="F26" s="42" t="s">
        <v>420</v>
      </c>
      <c r="G26" s="42" t="s">
        <v>420</v>
      </c>
      <c r="H26" s="38"/>
      <c r="I26" s="43">
        <f t="shared" ref="I26:N31" si="14">I5+I12+I19</f>
        <v>617.1099999999999</v>
      </c>
      <c r="J26" s="43">
        <f t="shared" si="14"/>
        <v>652.27</v>
      </c>
      <c r="K26" s="43">
        <f t="shared" si="14"/>
        <v>643.49</v>
      </c>
      <c r="L26" s="43">
        <f t="shared" si="14"/>
        <v>641.88</v>
      </c>
      <c r="M26" s="43">
        <f t="shared" si="14"/>
        <v>543.24</v>
      </c>
      <c r="N26" s="43">
        <f t="shared" si="14"/>
        <v>594.44999999999993</v>
      </c>
      <c r="O26" s="38"/>
      <c r="P26" s="43">
        <f t="shared" ref="P26:U31" si="15">P5+P12+P19</f>
        <v>3155.52</v>
      </c>
      <c r="Q26" s="43">
        <f t="shared" si="15"/>
        <v>3335.74</v>
      </c>
      <c r="R26" s="43">
        <f t="shared" si="15"/>
        <v>3290.7900000000004</v>
      </c>
      <c r="S26" s="43">
        <f t="shared" si="15"/>
        <v>3282.33</v>
      </c>
      <c r="T26" s="43">
        <f t="shared" si="15"/>
        <v>2778.93</v>
      </c>
      <c r="U26" s="43">
        <f t="shared" si="15"/>
        <v>3040.59</v>
      </c>
    </row>
    <row r="27" spans="1:21">
      <c r="A27" s="36" t="s">
        <v>31</v>
      </c>
      <c r="B27" s="42" t="s">
        <v>420</v>
      </c>
      <c r="C27" s="42" t="s">
        <v>420</v>
      </c>
      <c r="D27" s="42" t="s">
        <v>420</v>
      </c>
      <c r="E27" s="42" t="s">
        <v>420</v>
      </c>
      <c r="F27" s="42" t="s">
        <v>420</v>
      </c>
      <c r="G27" s="42" t="s">
        <v>420</v>
      </c>
      <c r="H27" s="38"/>
      <c r="I27" s="43">
        <f t="shared" si="14"/>
        <v>3.7399999999999998</v>
      </c>
      <c r="J27" s="43">
        <f t="shared" si="14"/>
        <v>3.6</v>
      </c>
      <c r="K27" s="43">
        <f t="shared" si="14"/>
        <v>3.5799999999999996</v>
      </c>
      <c r="L27" s="43">
        <f t="shared" si="14"/>
        <v>3.42</v>
      </c>
      <c r="M27" s="43">
        <f t="shared" si="14"/>
        <v>3.26</v>
      </c>
      <c r="N27" s="43">
        <f t="shared" si="14"/>
        <v>3.21</v>
      </c>
      <c r="O27" s="38"/>
      <c r="P27" s="43">
        <f t="shared" si="15"/>
        <v>19.32</v>
      </c>
      <c r="Q27" s="43">
        <f t="shared" si="15"/>
        <v>18.59</v>
      </c>
      <c r="R27" s="43">
        <f t="shared" si="15"/>
        <v>18.499999999999996</v>
      </c>
      <c r="S27" s="43">
        <f t="shared" si="15"/>
        <v>17.62</v>
      </c>
      <c r="T27" s="43">
        <f t="shared" si="15"/>
        <v>16.790000000000003</v>
      </c>
      <c r="U27" s="43">
        <f t="shared" si="15"/>
        <v>16.510000000000002</v>
      </c>
    </row>
    <row r="28" spans="1:21">
      <c r="A28" s="36" t="s">
        <v>32</v>
      </c>
      <c r="B28" s="42" t="s">
        <v>420</v>
      </c>
      <c r="C28" s="42" t="s">
        <v>420</v>
      </c>
      <c r="D28" s="42" t="s">
        <v>420</v>
      </c>
      <c r="E28" s="42" t="s">
        <v>420</v>
      </c>
      <c r="F28" s="42" t="s">
        <v>420</v>
      </c>
      <c r="G28" s="42" t="s">
        <v>420</v>
      </c>
      <c r="H28" s="38"/>
      <c r="I28" s="43">
        <f t="shared" si="14"/>
        <v>21.87</v>
      </c>
      <c r="J28" s="43">
        <f t="shared" si="14"/>
        <v>21.66</v>
      </c>
      <c r="K28" s="43">
        <f t="shared" si="14"/>
        <v>21.65</v>
      </c>
      <c r="L28" s="43">
        <f t="shared" si="14"/>
        <v>21.47</v>
      </c>
      <c r="M28" s="43">
        <f t="shared" si="14"/>
        <v>17.380000000000003</v>
      </c>
      <c r="N28" s="43">
        <f t="shared" si="14"/>
        <v>21.16</v>
      </c>
      <c r="O28" s="38"/>
      <c r="P28" s="43">
        <f t="shared" si="15"/>
        <v>115.37</v>
      </c>
      <c r="Q28" s="43">
        <f t="shared" si="15"/>
        <v>114.27000000000001</v>
      </c>
      <c r="R28" s="43">
        <f t="shared" si="15"/>
        <v>114.27000000000001</v>
      </c>
      <c r="S28" s="43">
        <f t="shared" si="15"/>
        <v>113.36000000000001</v>
      </c>
      <c r="T28" s="43">
        <f t="shared" si="15"/>
        <v>91.649999999999991</v>
      </c>
      <c r="U28" s="43">
        <f t="shared" si="15"/>
        <v>111.66</v>
      </c>
    </row>
    <row r="29" spans="1:21">
      <c r="A29" s="36" t="s">
        <v>33</v>
      </c>
      <c r="B29" s="42" t="s">
        <v>420</v>
      </c>
      <c r="C29" s="42" t="s">
        <v>420</v>
      </c>
      <c r="D29" s="42" t="s">
        <v>420</v>
      </c>
      <c r="E29" s="42" t="s">
        <v>420</v>
      </c>
      <c r="F29" s="42" t="s">
        <v>420</v>
      </c>
      <c r="G29" s="42" t="s">
        <v>420</v>
      </c>
      <c r="H29" s="38"/>
      <c r="I29" s="43">
        <f t="shared" si="14"/>
        <v>22.790000000000003</v>
      </c>
      <c r="J29" s="43">
        <f t="shared" si="14"/>
        <v>22.76</v>
      </c>
      <c r="K29" s="43">
        <f t="shared" si="14"/>
        <v>22.9</v>
      </c>
      <c r="L29" s="43">
        <f t="shared" si="14"/>
        <v>22.95</v>
      </c>
      <c r="M29" s="43">
        <f t="shared" si="14"/>
        <v>21.970000000000002</v>
      </c>
      <c r="N29" s="43">
        <f t="shared" si="14"/>
        <v>22.83</v>
      </c>
      <c r="O29" s="38"/>
      <c r="P29" s="43">
        <f t="shared" si="15"/>
        <v>116.57</v>
      </c>
      <c r="Q29" s="43">
        <f t="shared" si="15"/>
        <v>116.4</v>
      </c>
      <c r="R29" s="43">
        <f t="shared" si="15"/>
        <v>117.12</v>
      </c>
      <c r="S29" s="43">
        <f t="shared" si="15"/>
        <v>117.39</v>
      </c>
      <c r="T29" s="43">
        <f t="shared" si="15"/>
        <v>112.39999999999999</v>
      </c>
      <c r="U29" s="43">
        <f t="shared" si="15"/>
        <v>116.77</v>
      </c>
    </row>
    <row r="30" spans="1:21" ht="13.8" thickBot="1">
      <c r="A30" s="36" t="s">
        <v>381</v>
      </c>
      <c r="B30" s="42" t="s">
        <v>420</v>
      </c>
      <c r="C30" s="42" t="s">
        <v>420</v>
      </c>
      <c r="D30" s="42" t="s">
        <v>420</v>
      </c>
      <c r="E30" s="42" t="s">
        <v>420</v>
      </c>
      <c r="F30" s="42" t="s">
        <v>420</v>
      </c>
      <c r="G30" s="42" t="s">
        <v>420</v>
      </c>
      <c r="H30" s="38"/>
      <c r="I30" s="43">
        <f t="shared" si="14"/>
        <v>4.9799999999999995</v>
      </c>
      <c r="J30" s="43">
        <f t="shared" si="14"/>
        <v>6.1899999999999995</v>
      </c>
      <c r="K30" s="43">
        <f t="shared" si="14"/>
        <v>6.1199999999999992</v>
      </c>
      <c r="L30" s="43">
        <f t="shared" si="14"/>
        <v>6.13</v>
      </c>
      <c r="M30" s="43">
        <f t="shared" si="14"/>
        <v>6.3599999999999994</v>
      </c>
      <c r="N30" s="43">
        <f t="shared" si="14"/>
        <v>7.17</v>
      </c>
      <c r="O30" s="38"/>
      <c r="P30" s="43">
        <f t="shared" si="15"/>
        <v>25.8</v>
      </c>
      <c r="Q30" s="43">
        <f t="shared" si="15"/>
        <v>31.93</v>
      </c>
      <c r="R30" s="43">
        <f t="shared" si="15"/>
        <v>31.54</v>
      </c>
      <c r="S30" s="43">
        <f t="shared" si="15"/>
        <v>31.549999999999997</v>
      </c>
      <c r="T30" s="43">
        <f t="shared" si="15"/>
        <v>32.72</v>
      </c>
      <c r="U30" s="43">
        <f t="shared" si="15"/>
        <v>37.049999999999997</v>
      </c>
    </row>
    <row r="31" spans="1:21" ht="13.8" thickBot="1">
      <c r="A31" s="44" t="s">
        <v>580</v>
      </c>
      <c r="B31" s="45" t="s">
        <v>420</v>
      </c>
      <c r="C31" s="45" t="s">
        <v>420</v>
      </c>
      <c r="D31" s="45" t="s">
        <v>420</v>
      </c>
      <c r="E31" s="45" t="s">
        <v>420</v>
      </c>
      <c r="F31" s="45" t="s">
        <v>420</v>
      </c>
      <c r="G31" s="45" t="s">
        <v>420</v>
      </c>
      <c r="H31" s="41"/>
      <c r="I31" s="46">
        <f t="shared" si="14"/>
        <v>670.49000000000012</v>
      </c>
      <c r="J31" s="46">
        <f t="shared" si="14"/>
        <v>706.48</v>
      </c>
      <c r="K31" s="46">
        <f t="shared" si="14"/>
        <v>697.74</v>
      </c>
      <c r="L31" s="46">
        <f t="shared" si="14"/>
        <v>695.85</v>
      </c>
      <c r="M31" s="46">
        <f t="shared" si="14"/>
        <v>592.21</v>
      </c>
      <c r="N31" s="46">
        <f t="shared" si="14"/>
        <v>648.81999999999994</v>
      </c>
      <c r="O31" s="41"/>
      <c r="P31" s="46">
        <f t="shared" si="15"/>
        <v>3432.58</v>
      </c>
      <c r="Q31" s="46">
        <f t="shared" si="15"/>
        <v>3616.9300000000003</v>
      </c>
      <c r="R31" s="46">
        <f t="shared" si="15"/>
        <v>3572.2200000000003</v>
      </c>
      <c r="S31" s="46">
        <f t="shared" si="15"/>
        <v>3562.2499999999995</v>
      </c>
      <c r="T31" s="46">
        <f t="shared" si="15"/>
        <v>3032.49</v>
      </c>
      <c r="U31" s="46">
        <f t="shared" si="15"/>
        <v>3322.58</v>
      </c>
    </row>
    <row r="32" spans="1:21" ht="13.8" thickTop="1">
      <c r="A32" s="224"/>
      <c r="B32" s="225"/>
      <c r="C32" s="225"/>
      <c r="D32" s="225"/>
      <c r="E32" s="225"/>
      <c r="F32" s="225"/>
      <c r="G32" s="225"/>
      <c r="H32" s="225"/>
      <c r="I32" s="225"/>
      <c r="J32" s="225"/>
      <c r="K32" s="225"/>
      <c r="L32" s="225"/>
      <c r="M32" s="225"/>
      <c r="N32" s="225"/>
      <c r="O32" s="225"/>
      <c r="P32" s="225"/>
      <c r="Q32" s="225"/>
      <c r="R32" s="225"/>
      <c r="S32" s="225"/>
      <c r="T32" s="225"/>
      <c r="U32" s="225"/>
    </row>
    <row r="33" spans="1:21" s="14" customFormat="1">
      <c r="A33" s="487" t="s">
        <v>776</v>
      </c>
      <c r="B33" s="487"/>
      <c r="C33" s="487"/>
      <c r="D33" s="487"/>
      <c r="E33" s="487"/>
      <c r="F33" s="487"/>
      <c r="G33" s="487"/>
      <c r="H33" s="487"/>
      <c r="I33" s="13"/>
      <c r="J33" s="13"/>
      <c r="K33" s="13"/>
      <c r="L33" s="13"/>
      <c r="M33" s="13"/>
      <c r="N33" s="13"/>
      <c r="O33" s="13"/>
      <c r="P33" s="13"/>
      <c r="Q33" s="13"/>
      <c r="R33" s="13"/>
      <c r="S33" s="13"/>
      <c r="T33" s="13"/>
      <c r="U33" s="13"/>
    </row>
    <row r="34" spans="1:21" hidden="1"/>
    <row r="35" spans="1:21" hidden="1"/>
    <row r="36" spans="1:21" hidden="1"/>
    <row r="37" spans="1:21" hidden="1"/>
  </sheetData>
  <sheetProtection password="CAF1" sheet="1" objects="1" scenarios="1" formatCells="0" formatColumns="0" formatRows="0" insertColumns="0" insertRows="0" insertHyperlinks="0" deleteColumns="0" deleteRows="0" sort="0" autoFilter="0" pivotTables="0"/>
  <mergeCells count="15">
    <mergeCell ref="P2:T2"/>
    <mergeCell ref="B4:G4"/>
    <mergeCell ref="P4:U4"/>
    <mergeCell ref="I4:N4"/>
    <mergeCell ref="B2:F2"/>
    <mergeCell ref="I2:M2"/>
    <mergeCell ref="A33:H33"/>
    <mergeCell ref="B11:G11"/>
    <mergeCell ref="B18:G18"/>
    <mergeCell ref="P11:U11"/>
    <mergeCell ref="I18:N18"/>
    <mergeCell ref="P18:U18"/>
    <mergeCell ref="I25:N25"/>
    <mergeCell ref="P25:U25"/>
    <mergeCell ref="I11:N11"/>
  </mergeCells>
  <phoneticPr fontId="8" type="noConversion"/>
  <hyperlinks>
    <hyperlink ref="A33:H33" location="Титул!A1" display="Вернуться к Содержанию"/>
  </hyperlinks>
  <printOptions horizontalCentered="1"/>
  <pageMargins left="0.25" right="0.25" top="0.75" bottom="0.75" header="0.3" footer="0.3"/>
  <pageSetup paperSize="9" firstPageNumber="19" orientation="landscape" useFirstPageNumber="1" r:id="rId1"/>
  <headerFooter alignWithMargins="0">
    <oddHeader>&amp;L&amp;"Times New Roman,полужирный"Газпром в цифрах 2006-2010 гг.&amp;R&amp;"Times New Roman,полужирный"Справочник</oddHeader>
    <oddFooter>&amp;C&amp;P</oddFooter>
  </headerFooter>
</worksheet>
</file>

<file path=xl/worksheets/sheet16.xml><?xml version="1.0" encoding="utf-8"?>
<worksheet xmlns="http://schemas.openxmlformats.org/spreadsheetml/2006/main" xmlns:r="http://schemas.openxmlformats.org/officeDocument/2006/relationships">
  <sheetPr codeName="Лист16"/>
  <dimension ref="A1:H83"/>
  <sheetViews>
    <sheetView zoomScaleNormal="100" zoomScaleSheetLayoutView="100" workbookViewId="0"/>
  </sheetViews>
  <sheetFormatPr defaultColWidth="0" defaultRowHeight="13.2" zeroHeight="1" outlineLevelCol="1"/>
  <cols>
    <col min="1" max="1" width="54.5546875" style="4" customWidth="1"/>
    <col min="2" max="2" width="0" style="4" hidden="1" customWidth="1" outlineLevel="1"/>
    <col min="3" max="3" width="9.33203125" style="4" customWidth="1" collapsed="1"/>
    <col min="4" max="7" width="9.33203125" style="4" customWidth="1"/>
    <col min="8" max="16384" width="0" style="4" hidden="1"/>
  </cols>
  <sheetData>
    <row r="1" spans="1:7" ht="15.6">
      <c r="A1" s="51" t="s">
        <v>538</v>
      </c>
      <c r="B1" s="28"/>
      <c r="C1" s="28"/>
      <c r="D1" s="28"/>
      <c r="E1" s="28"/>
      <c r="F1" s="28"/>
      <c r="G1" s="28"/>
    </row>
    <row r="2" spans="1:7" ht="21" customHeight="1">
      <c r="A2" s="226" t="s">
        <v>539</v>
      </c>
      <c r="B2" s="28"/>
      <c r="C2" s="28"/>
      <c r="D2" s="28"/>
      <c r="E2" s="28"/>
      <c r="F2" s="28"/>
      <c r="G2" s="28"/>
    </row>
    <row r="3" spans="1:7" ht="15.6">
      <c r="A3" s="227"/>
      <c r="B3" s="28"/>
      <c r="C3" s="28"/>
      <c r="D3" s="28"/>
      <c r="E3" s="28"/>
      <c r="F3" s="28"/>
      <c r="G3" s="28"/>
    </row>
    <row r="4" spans="1:7">
      <c r="A4" s="29"/>
      <c r="B4" s="29"/>
      <c r="C4" s="29"/>
      <c r="D4" s="29"/>
      <c r="E4" s="29"/>
      <c r="F4" s="29"/>
      <c r="G4" s="29"/>
    </row>
    <row r="5" spans="1:7">
      <c r="A5" s="29"/>
      <c r="B5" s="29"/>
      <c r="C5" s="29"/>
      <c r="D5" s="29"/>
      <c r="E5" s="29"/>
      <c r="F5" s="29"/>
      <c r="G5" s="29"/>
    </row>
    <row r="6" spans="1:7">
      <c r="A6" s="29"/>
      <c r="B6" s="29"/>
      <c r="C6" s="29"/>
      <c r="D6" s="29"/>
      <c r="E6" s="29"/>
      <c r="F6" s="29"/>
      <c r="G6" s="29"/>
    </row>
    <row r="7" spans="1:7" ht="24" customHeight="1">
      <c r="A7" s="29"/>
      <c r="B7" s="29"/>
      <c r="C7" s="29"/>
      <c r="D7" s="29"/>
      <c r="E7" s="29"/>
      <c r="F7" s="29"/>
      <c r="G7" s="29"/>
    </row>
    <row r="8" spans="1:7">
      <c r="A8" s="29"/>
      <c r="B8" s="29"/>
      <c r="C8" s="29"/>
      <c r="D8" s="29"/>
      <c r="E8" s="29"/>
      <c r="F8" s="29"/>
      <c r="G8" s="29"/>
    </row>
    <row r="9" spans="1:7">
      <c r="A9" s="29"/>
      <c r="B9" s="29"/>
      <c r="C9" s="29"/>
      <c r="D9" s="29"/>
      <c r="E9" s="29"/>
      <c r="F9" s="29"/>
      <c r="G9" s="29"/>
    </row>
    <row r="10" spans="1:7">
      <c r="A10" s="29"/>
      <c r="B10" s="29"/>
      <c r="C10" s="29"/>
      <c r="D10" s="29"/>
      <c r="E10" s="29"/>
      <c r="F10" s="29"/>
      <c r="G10" s="29"/>
    </row>
    <row r="11" spans="1:7">
      <c r="A11" s="29"/>
      <c r="B11" s="29"/>
      <c r="C11" s="29"/>
      <c r="D11" s="29"/>
      <c r="E11" s="29"/>
      <c r="F11" s="29"/>
      <c r="G11" s="29"/>
    </row>
    <row r="12" spans="1:7">
      <c r="A12" s="29"/>
      <c r="B12" s="29"/>
      <c r="C12" s="29"/>
      <c r="D12" s="29"/>
      <c r="E12" s="29"/>
      <c r="F12" s="29"/>
      <c r="G12" s="29"/>
    </row>
    <row r="13" spans="1:7">
      <c r="A13" s="29"/>
      <c r="B13" s="29"/>
      <c r="C13" s="29"/>
      <c r="D13" s="29"/>
      <c r="E13" s="29"/>
      <c r="F13" s="29"/>
      <c r="G13" s="29"/>
    </row>
    <row r="14" spans="1:7">
      <c r="A14" s="29"/>
      <c r="B14" s="29"/>
      <c r="C14" s="29"/>
      <c r="D14" s="29"/>
      <c r="E14" s="29"/>
      <c r="F14" s="29"/>
      <c r="G14" s="29"/>
    </row>
    <row r="15" spans="1:7">
      <c r="A15" s="71"/>
      <c r="B15" s="76"/>
      <c r="C15" s="76"/>
      <c r="D15" s="76"/>
      <c r="E15" s="76"/>
      <c r="F15" s="76"/>
      <c r="G15" s="76"/>
    </row>
    <row r="16" spans="1:7">
      <c r="A16" s="166"/>
      <c r="B16" s="209"/>
      <c r="C16" s="209"/>
      <c r="D16" s="209"/>
      <c r="E16" s="209"/>
      <c r="F16" s="209"/>
      <c r="G16" s="209"/>
    </row>
    <row r="17" spans="1:7">
      <c r="A17" s="29"/>
      <c r="B17" s="29"/>
      <c r="C17" s="29"/>
      <c r="D17" s="29"/>
      <c r="E17" s="29"/>
      <c r="F17" s="29"/>
      <c r="G17" s="29"/>
    </row>
    <row r="18" spans="1:7">
      <c r="A18" s="29"/>
      <c r="B18" s="29"/>
      <c r="C18" s="29"/>
      <c r="D18" s="29"/>
      <c r="E18" s="29"/>
      <c r="F18" s="29"/>
      <c r="G18" s="29"/>
    </row>
    <row r="19" spans="1:7">
      <c r="A19" s="29"/>
      <c r="B19" s="29"/>
      <c r="C19" s="29"/>
      <c r="D19" s="29"/>
      <c r="E19" s="29"/>
      <c r="F19" s="29"/>
      <c r="G19" s="29"/>
    </row>
    <row r="20" spans="1:7">
      <c r="A20" s="29"/>
      <c r="B20" s="29"/>
      <c r="C20" s="29"/>
      <c r="D20" s="29"/>
      <c r="E20" s="29"/>
      <c r="F20" s="29"/>
      <c r="G20" s="29"/>
    </row>
    <row r="21" spans="1:7">
      <c r="A21" s="29"/>
      <c r="B21" s="29"/>
      <c r="C21" s="29"/>
      <c r="D21" s="29"/>
      <c r="E21" s="29"/>
      <c r="F21" s="29"/>
      <c r="G21" s="29"/>
    </row>
    <row r="22" spans="1:7">
      <c r="A22" s="29"/>
      <c r="B22" s="29"/>
      <c r="C22" s="29"/>
      <c r="D22" s="29"/>
      <c r="E22" s="29"/>
      <c r="F22" s="29"/>
      <c r="G22" s="29"/>
    </row>
    <row r="23" spans="1:7">
      <c r="A23" s="29"/>
      <c r="B23" s="29"/>
      <c r="C23" s="29"/>
      <c r="D23" s="29"/>
      <c r="E23" s="29"/>
      <c r="F23" s="29"/>
      <c r="G23" s="29"/>
    </row>
    <row r="24" spans="1:7" ht="12.75" customHeight="1">
      <c r="A24" s="29"/>
      <c r="B24" s="29"/>
      <c r="C24" s="29"/>
      <c r="D24" s="29"/>
      <c r="E24" s="29"/>
      <c r="F24" s="29"/>
      <c r="G24" s="29"/>
    </row>
    <row r="25" spans="1:7" ht="48.75" customHeight="1">
      <c r="A25" s="493" t="s">
        <v>540</v>
      </c>
      <c r="B25" s="493"/>
      <c r="C25" s="493"/>
      <c r="D25" s="493"/>
      <c r="E25" s="493"/>
      <c r="F25" s="493"/>
      <c r="G25" s="172"/>
    </row>
    <row r="26" spans="1:7" ht="13.2" customHeight="1">
      <c r="A26" s="24"/>
      <c r="B26" s="488" t="s">
        <v>656</v>
      </c>
      <c r="C26" s="488"/>
      <c r="D26" s="488"/>
      <c r="E26" s="488"/>
      <c r="F26" s="488"/>
      <c r="G26" s="488"/>
    </row>
    <row r="27" spans="1:7" ht="51.6">
      <c r="A27" s="24"/>
      <c r="B27" s="24" t="s">
        <v>541</v>
      </c>
      <c r="C27" s="24">
        <v>2006</v>
      </c>
      <c r="D27" s="24">
        <v>2007</v>
      </c>
      <c r="E27" s="24">
        <v>2008</v>
      </c>
      <c r="F27" s="24">
        <v>2009</v>
      </c>
      <c r="G27" s="24">
        <v>2010</v>
      </c>
    </row>
    <row r="28" spans="1:7">
      <c r="A28" s="55" t="s">
        <v>641</v>
      </c>
      <c r="B28" s="104">
        <v>136.30000000000001</v>
      </c>
      <c r="C28" s="104">
        <v>177.7</v>
      </c>
      <c r="D28" s="104">
        <v>207.6</v>
      </c>
      <c r="E28" s="104">
        <v>284.89999999999998</v>
      </c>
      <c r="F28" s="104">
        <v>163.69999999999999</v>
      </c>
      <c r="G28" s="104">
        <v>204.9</v>
      </c>
    </row>
    <row r="29" spans="1:7">
      <c r="A29" s="55" t="s">
        <v>644</v>
      </c>
      <c r="B29" s="104">
        <v>44</v>
      </c>
      <c r="C29" s="104">
        <v>62</v>
      </c>
      <c r="D29" s="104">
        <v>39</v>
      </c>
      <c r="E29" s="104">
        <v>80</v>
      </c>
      <c r="F29" s="104">
        <v>75</v>
      </c>
      <c r="G29" s="104">
        <v>82</v>
      </c>
    </row>
    <row r="30" spans="1:7" ht="13.8" thickBot="1">
      <c r="A30" s="151" t="s">
        <v>542</v>
      </c>
      <c r="B30" s="75">
        <v>35</v>
      </c>
      <c r="C30" s="75">
        <v>50</v>
      </c>
      <c r="D30" s="75">
        <v>20</v>
      </c>
      <c r="E30" s="75">
        <v>50</v>
      </c>
      <c r="F30" s="75">
        <v>43</v>
      </c>
      <c r="G30" s="75">
        <v>64</v>
      </c>
    </row>
    <row r="31" spans="1:7">
      <c r="A31" s="113" t="s">
        <v>642</v>
      </c>
      <c r="B31" s="228">
        <v>9.8000000000000007</v>
      </c>
      <c r="C31" s="228">
        <v>9.1999999999999993</v>
      </c>
      <c r="D31" s="228">
        <v>6.4</v>
      </c>
      <c r="E31" s="228">
        <v>12.4</v>
      </c>
      <c r="F31" s="228">
        <v>14.7</v>
      </c>
      <c r="G31" s="228">
        <v>18.5</v>
      </c>
    </row>
    <row r="32" spans="1:7" ht="13.8" thickBot="1">
      <c r="A32" s="61" t="s">
        <v>643</v>
      </c>
      <c r="B32" s="229">
        <v>3.2</v>
      </c>
      <c r="C32" s="229">
        <v>7.9</v>
      </c>
      <c r="D32" s="229">
        <v>5.7</v>
      </c>
      <c r="E32" s="229">
        <v>6.6</v>
      </c>
      <c r="F32" s="229">
        <v>9.5</v>
      </c>
      <c r="G32" s="229">
        <v>10.8</v>
      </c>
    </row>
    <row r="33" spans="1:7">
      <c r="A33" s="64" t="s">
        <v>543</v>
      </c>
      <c r="B33" s="76">
        <f>ROUND((B40*1.154+B41*1.43+B42*1.43)/B28*1000,1)</f>
        <v>5286.7</v>
      </c>
      <c r="C33" s="76">
        <f>ROUND((C40*1.154+C41*1.43+C42*1.43)/C28*1000,1)</f>
        <v>4311.3</v>
      </c>
      <c r="D33" s="76">
        <f>ROUND((D40*1.154+D41*1.43+D42*1.43)/D28*1000,1)</f>
        <v>3495.2</v>
      </c>
      <c r="E33" s="76">
        <f>ROUND((E40*1.154+E41*1.43+E42*1.43)/E28*1000,1)</f>
        <v>2669.3</v>
      </c>
      <c r="F33" s="76">
        <f>ROUND((F40*1.154+F41*1.43+F42*1.43)/F28*1000,1)</f>
        <v>4143.8</v>
      </c>
      <c r="G33" s="76">
        <f>ROUND((G40*1.154+(G41+G42)*1.43)*1000/G28,1)</f>
        <v>3890.7</v>
      </c>
    </row>
    <row r="34" spans="1:7" ht="13.8" thickBot="1">
      <c r="A34" s="105" t="s">
        <v>544</v>
      </c>
      <c r="B34" s="106">
        <f>ROUND((B40*5.89+B41*8.18+B42*7.33)/B28*1000,1)</f>
        <v>27087.5</v>
      </c>
      <c r="C34" s="106">
        <f>ROUND((C40*5.89+C41*8.18+C42*7.33)/C28*1000,1)</f>
        <v>22072.3</v>
      </c>
      <c r="D34" s="106">
        <f>ROUND((D40*5.89+D41*8.18+D42*7.33)/D28*1000,1)</f>
        <v>17883.8</v>
      </c>
      <c r="E34" s="106">
        <f>ROUND((E40*5.89+E41*8.18+E42*7.33)/E28*1000,1)</f>
        <v>13651.2</v>
      </c>
      <c r="F34" s="106">
        <f>ROUND((F40*5.89+F41*8.18+F42*7.33)/F28*1000,1)</f>
        <v>21368.6</v>
      </c>
      <c r="G34" s="106">
        <f>ROUND((G40*5.89+G41*8.18+G42*7.33)*1000/G28,1)</f>
        <v>20009.900000000001</v>
      </c>
    </row>
    <row r="35" spans="1:7" ht="13.8" thickTop="1">
      <c r="A35" s="107"/>
      <c r="B35" s="28"/>
      <c r="C35" s="28"/>
      <c r="D35" s="28"/>
      <c r="E35" s="28"/>
      <c r="F35" s="28"/>
      <c r="G35" s="28"/>
    </row>
    <row r="36" spans="1:7" ht="31.5" customHeight="1">
      <c r="A36" s="493" t="s">
        <v>545</v>
      </c>
      <c r="B36" s="493"/>
      <c r="C36" s="493"/>
      <c r="D36" s="493"/>
      <c r="E36" s="493"/>
      <c r="F36" s="493"/>
      <c r="G36" s="172"/>
    </row>
    <row r="37" spans="1:7" ht="13.2" customHeight="1">
      <c r="A37" s="125"/>
      <c r="B37" s="488" t="s">
        <v>656</v>
      </c>
      <c r="C37" s="488"/>
      <c r="D37" s="488"/>
      <c r="E37" s="488"/>
      <c r="F37" s="488"/>
      <c r="G37" s="488"/>
    </row>
    <row r="38" spans="1:7">
      <c r="A38" s="125"/>
      <c r="B38" s="24">
        <v>2005</v>
      </c>
      <c r="C38" s="24">
        <v>2006</v>
      </c>
      <c r="D38" s="24">
        <v>2007</v>
      </c>
      <c r="E38" s="24">
        <v>2008</v>
      </c>
      <c r="F38" s="24">
        <v>2009</v>
      </c>
      <c r="G38" s="24">
        <v>2010</v>
      </c>
    </row>
    <row r="39" spans="1:7">
      <c r="A39" s="100" t="s">
        <v>546</v>
      </c>
      <c r="B39" s="84"/>
      <c r="C39" s="84"/>
      <c r="D39" s="84"/>
      <c r="E39" s="84"/>
      <c r="F39" s="84"/>
      <c r="G39" s="84"/>
    </row>
    <row r="40" spans="1:7">
      <c r="A40" s="59" t="s">
        <v>547</v>
      </c>
      <c r="B40" s="104">
        <v>583.4</v>
      </c>
      <c r="C40" s="104">
        <v>590.9</v>
      </c>
      <c r="D40" s="104">
        <v>592.1</v>
      </c>
      <c r="E40" s="104">
        <v>583.4</v>
      </c>
      <c r="F40" s="104">
        <v>468.8</v>
      </c>
      <c r="G40" s="104">
        <f>'Движение запасов'!B50</f>
        <v>547.70000000000005</v>
      </c>
    </row>
    <row r="41" spans="1:7">
      <c r="A41" s="59" t="s">
        <v>639</v>
      </c>
      <c r="B41" s="104">
        <v>15.5</v>
      </c>
      <c r="C41" s="104">
        <v>11.9</v>
      </c>
      <c r="D41" s="104">
        <v>9.6999999999999993</v>
      </c>
      <c r="E41" s="104">
        <v>6.9</v>
      </c>
      <c r="F41" s="104">
        <v>38.549999999999997</v>
      </c>
      <c r="G41" s="104">
        <f>'Движение запасов'!C50</f>
        <v>32.299999999999997</v>
      </c>
    </row>
    <row r="42" spans="1:7" ht="13.8" thickBot="1">
      <c r="A42" s="59" t="s">
        <v>574</v>
      </c>
      <c r="B42" s="229">
        <v>17.600000000000001</v>
      </c>
      <c r="C42" s="99">
        <v>47</v>
      </c>
      <c r="D42" s="229">
        <v>19.899999999999999</v>
      </c>
      <c r="E42" s="229">
        <v>54.1</v>
      </c>
      <c r="F42" s="229">
        <v>57.5</v>
      </c>
      <c r="G42" s="229">
        <f>'Движение запасов'!D50</f>
        <v>83.2</v>
      </c>
    </row>
    <row r="43" spans="1:7">
      <c r="A43" s="230" t="s">
        <v>548</v>
      </c>
      <c r="B43" s="56">
        <f t="shared" ref="B43:G43" si="0">ROUND(B40*1.154,1)</f>
        <v>673.2</v>
      </c>
      <c r="C43" s="56">
        <f t="shared" si="0"/>
        <v>681.9</v>
      </c>
      <c r="D43" s="56">
        <f t="shared" si="0"/>
        <v>683.3</v>
      </c>
      <c r="E43" s="56">
        <f t="shared" si="0"/>
        <v>673.2</v>
      </c>
      <c r="F43" s="56">
        <f t="shared" si="0"/>
        <v>541</v>
      </c>
      <c r="G43" s="56">
        <f t="shared" si="0"/>
        <v>632</v>
      </c>
    </row>
    <row r="44" spans="1:7">
      <c r="A44" s="151" t="s">
        <v>530</v>
      </c>
      <c r="B44" s="74">
        <f t="shared" ref="B44:G45" si="1">ROUND(B41*1.43,1)</f>
        <v>22.2</v>
      </c>
      <c r="C44" s="74">
        <f t="shared" si="1"/>
        <v>17</v>
      </c>
      <c r="D44" s="74">
        <f t="shared" si="1"/>
        <v>13.9</v>
      </c>
      <c r="E44" s="74">
        <f t="shared" si="1"/>
        <v>9.9</v>
      </c>
      <c r="F44" s="74">
        <f t="shared" si="1"/>
        <v>55.1</v>
      </c>
      <c r="G44" s="74">
        <f t="shared" si="1"/>
        <v>46.2</v>
      </c>
    </row>
    <row r="45" spans="1:7">
      <c r="A45" s="151" t="s">
        <v>568</v>
      </c>
      <c r="B45" s="74">
        <f t="shared" si="1"/>
        <v>25.2</v>
      </c>
      <c r="C45" s="74">
        <f t="shared" si="1"/>
        <v>67.2</v>
      </c>
      <c r="D45" s="74">
        <f t="shared" si="1"/>
        <v>28.5</v>
      </c>
      <c r="E45" s="74">
        <f t="shared" si="1"/>
        <v>77.400000000000006</v>
      </c>
      <c r="F45" s="74">
        <f t="shared" si="1"/>
        <v>82.2</v>
      </c>
      <c r="G45" s="74">
        <f t="shared" si="1"/>
        <v>119</v>
      </c>
    </row>
    <row r="46" spans="1:7" ht="13.8" thickBot="1">
      <c r="A46" s="231" t="s">
        <v>549</v>
      </c>
      <c r="B46" s="53">
        <f>SUM(B43:B45)</f>
        <v>720.60000000000014</v>
      </c>
      <c r="C46" s="53">
        <f>SUM(C43:C45)</f>
        <v>766.1</v>
      </c>
      <c r="D46" s="53">
        <f>SUM(D43:D45)</f>
        <v>725.69999999999993</v>
      </c>
      <c r="E46" s="53">
        <f>SUM(E43:E45)</f>
        <v>760.5</v>
      </c>
      <c r="F46" s="53">
        <f>SUM(F43:F45)</f>
        <v>678.30000000000007</v>
      </c>
      <c r="G46" s="53">
        <f>'Движение запасов'!I50</f>
        <v>797.2</v>
      </c>
    </row>
    <row r="47" spans="1:7">
      <c r="A47" s="59" t="s">
        <v>550</v>
      </c>
      <c r="B47" s="56">
        <f>ROUND(B40*5.89,1)</f>
        <v>3436.2</v>
      </c>
      <c r="C47" s="56">
        <f>ROUND(C40*5.89,1)</f>
        <v>3480.4</v>
      </c>
      <c r="D47" s="56">
        <f>ROUND(D40*5.89,1)</f>
        <v>3487.5</v>
      </c>
      <c r="E47" s="56">
        <f>ROUND(E40*5.89,1)</f>
        <v>3436.2</v>
      </c>
      <c r="F47" s="56">
        <f>ROUND(F40*5.89,1)</f>
        <v>2761.2</v>
      </c>
      <c r="G47" s="56">
        <f>ROUNDDOWN(G40*5.89,1)</f>
        <v>3225.9</v>
      </c>
    </row>
    <row r="48" spans="1:7">
      <c r="A48" s="59" t="s">
        <v>378</v>
      </c>
      <c r="B48" s="74">
        <f t="shared" ref="B48:G48" si="2">ROUND(B41*8.18,1)</f>
        <v>126.8</v>
      </c>
      <c r="C48" s="74">
        <f t="shared" si="2"/>
        <v>97.3</v>
      </c>
      <c r="D48" s="74">
        <f t="shared" si="2"/>
        <v>79.3</v>
      </c>
      <c r="E48" s="74">
        <f t="shared" si="2"/>
        <v>56.4</v>
      </c>
      <c r="F48" s="74">
        <f t="shared" si="2"/>
        <v>315.3</v>
      </c>
      <c r="G48" s="74">
        <f t="shared" si="2"/>
        <v>264.2</v>
      </c>
    </row>
    <row r="49" spans="1:7">
      <c r="A49" s="59" t="s">
        <v>496</v>
      </c>
      <c r="B49" s="74">
        <f t="shared" ref="B49:G49" si="3">ROUND(B42*7.33,1)</f>
        <v>129</v>
      </c>
      <c r="C49" s="74">
        <f t="shared" si="3"/>
        <v>344.5</v>
      </c>
      <c r="D49" s="74">
        <f t="shared" si="3"/>
        <v>145.9</v>
      </c>
      <c r="E49" s="74">
        <f t="shared" si="3"/>
        <v>396.6</v>
      </c>
      <c r="F49" s="74">
        <f t="shared" si="3"/>
        <v>421.5</v>
      </c>
      <c r="G49" s="74">
        <f t="shared" si="3"/>
        <v>609.9</v>
      </c>
    </row>
    <row r="50" spans="1:7" ht="13.8" thickBot="1">
      <c r="A50" s="231" t="s">
        <v>551</v>
      </c>
      <c r="B50" s="53">
        <f>SUM(B47:B49)</f>
        <v>3692</v>
      </c>
      <c r="C50" s="53">
        <f>SUM(C47:C49)</f>
        <v>3922.2000000000003</v>
      </c>
      <c r="D50" s="53">
        <f>SUM(D47:D49)</f>
        <v>3712.7000000000003</v>
      </c>
      <c r="E50" s="53">
        <f>SUM(E47:E49)</f>
        <v>3889.2</v>
      </c>
      <c r="F50" s="53">
        <f>SUM(F47:F49)</f>
        <v>3498</v>
      </c>
      <c r="G50" s="53">
        <f>'Движение запасов'!N50</f>
        <v>4100</v>
      </c>
    </row>
    <row r="51" spans="1:7">
      <c r="A51" s="100" t="s">
        <v>640</v>
      </c>
      <c r="B51" s="104"/>
      <c r="C51" s="104"/>
      <c r="D51" s="104"/>
      <c r="E51" s="104"/>
      <c r="F51" s="104"/>
      <c r="G51" s="104"/>
    </row>
    <row r="52" spans="1:7">
      <c r="A52" s="59" t="s">
        <v>552</v>
      </c>
      <c r="B52" s="179">
        <v>1.04</v>
      </c>
      <c r="C52" s="179">
        <v>1.06</v>
      </c>
      <c r="D52" s="179">
        <v>1.08</v>
      </c>
      <c r="E52" s="179">
        <v>1.06</v>
      </c>
      <c r="F52" s="179">
        <v>1.01</v>
      </c>
      <c r="G52" s="179">
        <f>ROUND(G40/ABS('Движение запасов'!B59),2)</f>
        <v>1.08</v>
      </c>
    </row>
    <row r="53" spans="1:7">
      <c r="A53" s="59" t="s">
        <v>553</v>
      </c>
      <c r="B53" s="179">
        <v>1.82</v>
      </c>
      <c r="C53" s="179">
        <v>1.42</v>
      </c>
      <c r="D53" s="179">
        <v>1.18</v>
      </c>
      <c r="E53" s="179">
        <v>0.86</v>
      </c>
      <c r="F53" s="179">
        <v>5.28</v>
      </c>
      <c r="G53" s="179">
        <f>ROUND(G41/ABS('Движение запасов'!C59),2)</f>
        <v>3.99</v>
      </c>
    </row>
    <row r="54" spans="1:7">
      <c r="A54" s="59" t="s">
        <v>579</v>
      </c>
      <c r="B54" s="179">
        <v>0.51</v>
      </c>
      <c r="C54" s="179">
        <v>1.38</v>
      </c>
      <c r="D54" s="179">
        <v>0.59</v>
      </c>
      <c r="E54" s="179">
        <v>1.69</v>
      </c>
      <c r="F54" s="179">
        <v>1.83</v>
      </c>
      <c r="G54" s="179">
        <f>ROUND(G42/ABS('Движение запасов'!D59),2)</f>
        <v>2.6</v>
      </c>
    </row>
    <row r="55" spans="1:7" ht="13.8" thickBot="1">
      <c r="A55" s="218" t="s">
        <v>580</v>
      </c>
      <c r="B55" s="222">
        <v>1.02</v>
      </c>
      <c r="C55" s="222">
        <v>1.0900000000000001</v>
      </c>
      <c r="D55" s="222">
        <v>1.04</v>
      </c>
      <c r="E55" s="222">
        <v>1.1000000000000001</v>
      </c>
      <c r="F55" s="222">
        <v>1.1499999999999999</v>
      </c>
      <c r="G55" s="222">
        <f>ROUND(G46/ABS('Движение запасов'!I59),2)</f>
        <v>1.24</v>
      </c>
    </row>
    <row r="56" spans="1:7" ht="25.5" customHeight="1" thickTop="1">
      <c r="A56" s="226" t="s">
        <v>315</v>
      </c>
      <c r="B56" s="28"/>
      <c r="C56" s="28"/>
      <c r="D56" s="28"/>
      <c r="E56" s="28"/>
      <c r="F56" s="28"/>
      <c r="G56" s="28"/>
    </row>
    <row r="57" spans="1:7" ht="13.2" customHeight="1">
      <c r="A57" s="125"/>
      <c r="B57" s="488" t="s">
        <v>656</v>
      </c>
      <c r="C57" s="488"/>
      <c r="D57" s="488"/>
      <c r="E57" s="488"/>
      <c r="F57" s="488"/>
      <c r="G57" s="488"/>
    </row>
    <row r="58" spans="1:7" ht="51.6">
      <c r="A58" s="125"/>
      <c r="B58" s="24" t="s">
        <v>541</v>
      </c>
      <c r="C58" s="24">
        <v>2006</v>
      </c>
      <c r="D58" s="24">
        <v>2007</v>
      </c>
      <c r="E58" s="24">
        <v>2008</v>
      </c>
      <c r="F58" s="24">
        <v>2009</v>
      </c>
      <c r="G58" s="24">
        <v>2010</v>
      </c>
    </row>
    <row r="59" spans="1:7">
      <c r="A59" s="100" t="s">
        <v>316</v>
      </c>
      <c r="B59" s="104"/>
      <c r="C59" s="104"/>
      <c r="D59" s="104"/>
      <c r="E59" s="104"/>
      <c r="F59" s="104"/>
      <c r="G59" s="104"/>
    </row>
    <row r="60" spans="1:7">
      <c r="A60" s="232" t="s">
        <v>646</v>
      </c>
      <c r="B60" s="104">
        <v>248</v>
      </c>
      <c r="C60" s="104">
        <v>156</v>
      </c>
      <c r="D60" s="104">
        <v>204</v>
      </c>
      <c r="E60" s="104">
        <v>143</v>
      </c>
      <c r="F60" s="104">
        <v>151</v>
      </c>
      <c r="G60" s="104">
        <v>118</v>
      </c>
    </row>
    <row r="61" spans="1:7">
      <c r="A61" s="232" t="s">
        <v>647</v>
      </c>
      <c r="B61" s="104">
        <v>15</v>
      </c>
      <c r="C61" s="104">
        <v>441</v>
      </c>
      <c r="D61" s="104">
        <v>546</v>
      </c>
      <c r="E61" s="104">
        <v>629</v>
      </c>
      <c r="F61" s="104">
        <v>702</v>
      </c>
      <c r="G61" s="104">
        <v>775</v>
      </c>
    </row>
    <row r="62" spans="1:7">
      <c r="A62" s="232" t="s">
        <v>317</v>
      </c>
      <c r="B62" s="104">
        <v>36</v>
      </c>
      <c r="C62" s="104">
        <v>41</v>
      </c>
      <c r="D62" s="104">
        <v>45</v>
      </c>
      <c r="E62" s="104">
        <v>8</v>
      </c>
      <c r="F62" s="104">
        <v>14</v>
      </c>
      <c r="G62" s="104">
        <v>16</v>
      </c>
    </row>
    <row r="63" spans="1:7" ht="13.8" thickBot="1">
      <c r="A63" s="233" t="s">
        <v>580</v>
      </c>
      <c r="B63" s="234">
        <v>299</v>
      </c>
      <c r="C63" s="234">
        <v>638</v>
      </c>
      <c r="D63" s="234">
        <v>795</v>
      </c>
      <c r="E63" s="234">
        <v>780</v>
      </c>
      <c r="F63" s="234">
        <v>867</v>
      </c>
      <c r="G63" s="234">
        <v>909</v>
      </c>
    </row>
    <row r="64" spans="1:7" ht="13.8" thickTop="1">
      <c r="A64" s="100" t="s">
        <v>318</v>
      </c>
      <c r="B64" s="104"/>
      <c r="C64" s="104"/>
      <c r="D64" s="104"/>
      <c r="E64" s="104"/>
      <c r="F64" s="104"/>
      <c r="G64" s="104"/>
    </row>
    <row r="65" spans="1:7">
      <c r="A65" s="232" t="s">
        <v>646</v>
      </c>
      <c r="B65" s="85">
        <v>327.39999999999998</v>
      </c>
      <c r="C65" s="85">
        <v>267.10000000000002</v>
      </c>
      <c r="D65" s="85">
        <v>314</v>
      </c>
      <c r="E65" s="85">
        <v>375.7</v>
      </c>
      <c r="F65" s="85">
        <v>358.2</v>
      </c>
      <c r="G65" s="85">
        <v>441.5</v>
      </c>
    </row>
    <row r="66" spans="1:7">
      <c r="A66" s="232" t="s">
        <v>647</v>
      </c>
      <c r="B66" s="85">
        <v>38.200000000000003</v>
      </c>
      <c r="C66" s="85">
        <v>1468.9</v>
      </c>
      <c r="D66" s="85">
        <v>1740.7</v>
      </c>
      <c r="E66" s="85">
        <v>2080.6</v>
      </c>
      <c r="F66" s="85">
        <v>2286.6999999999998</v>
      </c>
      <c r="G66" s="85">
        <v>2602.1999999999998</v>
      </c>
    </row>
    <row r="67" spans="1:7">
      <c r="A67" s="232" t="s">
        <v>317</v>
      </c>
      <c r="B67" s="85">
        <v>31.6</v>
      </c>
      <c r="C67" s="85">
        <v>30.1</v>
      </c>
      <c r="D67" s="85">
        <v>37.799999999999997</v>
      </c>
      <c r="E67" s="85">
        <v>17.600000000000001</v>
      </c>
      <c r="F67" s="85">
        <v>11.9</v>
      </c>
      <c r="G67" s="85">
        <v>20.3</v>
      </c>
    </row>
    <row r="68" spans="1:7" ht="13.8" thickBot="1">
      <c r="A68" s="233" t="s">
        <v>580</v>
      </c>
      <c r="B68" s="235">
        <v>397.2</v>
      </c>
      <c r="C68" s="235">
        <v>1766.1</v>
      </c>
      <c r="D68" s="235">
        <v>2092.5</v>
      </c>
      <c r="E68" s="235">
        <v>2473.9</v>
      </c>
      <c r="F68" s="235">
        <v>2656.8</v>
      </c>
      <c r="G68" s="235">
        <v>3064</v>
      </c>
    </row>
    <row r="69" spans="1:7" ht="13.8" thickTop="1">
      <c r="A69" s="107"/>
      <c r="B69" s="28"/>
      <c r="C69" s="28"/>
      <c r="D69" s="28"/>
      <c r="E69" s="28"/>
      <c r="F69" s="28"/>
      <c r="G69" s="28"/>
    </row>
    <row r="70" spans="1:7" ht="26.25" customHeight="1">
      <c r="A70" s="226" t="s">
        <v>751</v>
      </c>
      <c r="B70" s="28"/>
      <c r="C70" s="28"/>
      <c r="D70" s="28"/>
      <c r="E70" s="28"/>
      <c r="F70" s="28"/>
      <c r="G70" s="28"/>
    </row>
    <row r="71" spans="1:7" ht="13.2" customHeight="1">
      <c r="A71" s="236"/>
      <c r="B71" s="488" t="s">
        <v>569</v>
      </c>
      <c r="C71" s="488"/>
      <c r="D71" s="488"/>
      <c r="E71" s="488"/>
      <c r="F71" s="488"/>
      <c r="G71" s="488"/>
    </row>
    <row r="72" spans="1:7">
      <c r="A72" s="236"/>
      <c r="B72" s="24">
        <v>2005</v>
      </c>
      <c r="C72" s="24">
        <v>2006</v>
      </c>
      <c r="D72" s="24">
        <v>2007</v>
      </c>
      <c r="E72" s="24">
        <v>2008</v>
      </c>
      <c r="F72" s="24">
        <v>2009</v>
      </c>
      <c r="G72" s="24">
        <v>2010</v>
      </c>
    </row>
    <row r="73" spans="1:7">
      <c r="A73" s="36" t="s">
        <v>648</v>
      </c>
      <c r="B73" s="104">
        <v>114</v>
      </c>
      <c r="C73" s="104">
        <v>119</v>
      </c>
      <c r="D73" s="104">
        <v>122</v>
      </c>
      <c r="E73" s="104">
        <v>122</v>
      </c>
      <c r="F73" s="104">
        <v>121</v>
      </c>
      <c r="G73" s="104">
        <v>120</v>
      </c>
    </row>
    <row r="74" spans="1:7">
      <c r="A74" s="36" t="s">
        <v>649</v>
      </c>
      <c r="B74" s="237">
        <v>6941</v>
      </c>
      <c r="C74" s="237">
        <v>7010</v>
      </c>
      <c r="D74" s="237">
        <v>7154</v>
      </c>
      <c r="E74" s="237">
        <v>7214</v>
      </c>
      <c r="F74" s="237">
        <v>7310</v>
      </c>
      <c r="G74" s="237" t="s">
        <v>304</v>
      </c>
    </row>
    <row r="75" spans="1:7">
      <c r="A75" s="238" t="s">
        <v>319</v>
      </c>
      <c r="B75" s="237">
        <v>6401</v>
      </c>
      <c r="C75" s="237">
        <v>6513</v>
      </c>
      <c r="D75" s="237">
        <v>6640</v>
      </c>
      <c r="E75" s="237">
        <v>6723</v>
      </c>
      <c r="F75" s="237">
        <v>6775</v>
      </c>
      <c r="G75" s="237" t="s">
        <v>305</v>
      </c>
    </row>
    <row r="76" spans="1:7">
      <c r="A76" s="36" t="s">
        <v>650</v>
      </c>
      <c r="B76" s="237">
        <v>5018</v>
      </c>
      <c r="C76" s="237">
        <v>5486</v>
      </c>
      <c r="D76" s="237">
        <v>5881</v>
      </c>
      <c r="E76" s="237">
        <v>5932</v>
      </c>
      <c r="F76" s="237">
        <v>6158</v>
      </c>
      <c r="G76" s="237" t="s">
        <v>306</v>
      </c>
    </row>
    <row r="77" spans="1:7">
      <c r="A77" s="238" t="s">
        <v>319</v>
      </c>
      <c r="B77" s="237">
        <v>4372</v>
      </c>
      <c r="C77" s="237">
        <v>4948</v>
      </c>
      <c r="D77" s="237">
        <v>5342</v>
      </c>
      <c r="E77" s="237">
        <v>5444</v>
      </c>
      <c r="F77" s="237">
        <v>5663</v>
      </c>
      <c r="G77" s="237" t="s">
        <v>307</v>
      </c>
    </row>
    <row r="78" spans="1:7">
      <c r="A78" s="36" t="s">
        <v>651</v>
      </c>
      <c r="B78" s="104">
        <v>169</v>
      </c>
      <c r="C78" s="104">
        <v>170</v>
      </c>
      <c r="D78" s="104">
        <v>172</v>
      </c>
      <c r="E78" s="104">
        <v>173</v>
      </c>
      <c r="F78" s="104">
        <v>174</v>
      </c>
      <c r="G78" s="104">
        <v>176</v>
      </c>
    </row>
    <row r="79" spans="1:7">
      <c r="A79" s="36" t="s">
        <v>652</v>
      </c>
      <c r="B79" s="85">
        <v>939.6</v>
      </c>
      <c r="C79" s="85">
        <v>957.8</v>
      </c>
      <c r="D79" s="85">
        <v>976</v>
      </c>
      <c r="E79" s="85">
        <v>991</v>
      </c>
      <c r="F79" s="85">
        <v>994.5</v>
      </c>
      <c r="G79" s="85" t="s">
        <v>308</v>
      </c>
    </row>
    <row r="80" spans="1:7">
      <c r="A80" s="55" t="s">
        <v>653</v>
      </c>
      <c r="B80" s="104">
        <v>44</v>
      </c>
      <c r="C80" s="104">
        <v>44</v>
      </c>
      <c r="D80" s="104">
        <v>45</v>
      </c>
      <c r="E80" s="104">
        <v>45</v>
      </c>
      <c r="F80" s="104">
        <v>47</v>
      </c>
      <c r="G80" s="104">
        <v>48</v>
      </c>
    </row>
    <row r="81" spans="1:8" ht="13.8" thickBot="1">
      <c r="A81" s="177" t="s">
        <v>654</v>
      </c>
      <c r="B81" s="106">
        <v>4176.1000000000004</v>
      </c>
      <c r="C81" s="106">
        <v>4176.1000000000004</v>
      </c>
      <c r="D81" s="106">
        <v>4300.1000000000004</v>
      </c>
      <c r="E81" s="106">
        <v>4460.1000000000004</v>
      </c>
      <c r="F81" s="106">
        <v>4508.1000000000004</v>
      </c>
      <c r="G81" s="106" t="s">
        <v>309</v>
      </c>
    </row>
    <row r="82" spans="1:8" ht="13.8" thickTop="1">
      <c r="A82" s="29"/>
      <c r="B82" s="29"/>
      <c r="C82" s="29"/>
      <c r="D82" s="29"/>
      <c r="E82" s="29"/>
      <c r="F82" s="29"/>
      <c r="G82" s="29"/>
    </row>
    <row r="83" spans="1:8">
      <c r="A83" s="20" t="s">
        <v>776</v>
      </c>
      <c r="B83" s="449"/>
      <c r="C83" s="449"/>
      <c r="D83" s="449"/>
      <c r="E83" s="449"/>
      <c r="F83" s="449"/>
      <c r="G83" s="449"/>
      <c r="H83" s="449"/>
    </row>
  </sheetData>
  <sheetProtection password="CAF1" sheet="1" formatCells="0" formatColumns="0" formatRows="0" insertColumns="0" insertRows="0" insertHyperlinks="0" deleteColumns="0" deleteRows="0" sort="0" autoFilter="0" pivotTables="0"/>
  <mergeCells count="6">
    <mergeCell ref="B71:G71"/>
    <mergeCell ref="A25:F25"/>
    <mergeCell ref="A36:F36"/>
    <mergeCell ref="B26:G26"/>
    <mergeCell ref="B37:G37"/>
    <mergeCell ref="B57:G57"/>
  </mergeCells>
  <phoneticPr fontId="8" type="noConversion"/>
  <hyperlinks>
    <hyperlink ref="A83" location="Титул!A1" display="Вернуться к Содержанию"/>
  </hyperlinks>
  <pageMargins left="0.25" right="0.25" top="0.75" bottom="0.75" header="0.3" footer="0.3"/>
  <pageSetup paperSize="9" firstPageNumber="20" orientation="portrait" useFirstPageNumber="1" r:id="rId1"/>
  <headerFooter alignWithMargins="0">
    <oddHeader>&amp;L&amp;"Times New Roman,полужирный"Газпром в цифрах 2006-2010 гг.&amp;R&amp;"Times New Roman,полужирный"Справочник</oddHeader>
    <oddFooter>&amp;C&amp;P</oddFooter>
  </headerFooter>
  <rowBreaks count="1" manualBreakCount="1">
    <brk id="35" max="6" man="1"/>
  </rowBreaks>
  <drawing r:id="rId2"/>
</worksheet>
</file>

<file path=xl/worksheets/sheet17.xml><?xml version="1.0" encoding="utf-8"?>
<worksheet xmlns="http://schemas.openxmlformats.org/spreadsheetml/2006/main" xmlns:r="http://schemas.openxmlformats.org/officeDocument/2006/relationships">
  <sheetPr codeName="Лист17" enableFormatConditionsCalculation="0"/>
  <dimension ref="A1:G45"/>
  <sheetViews>
    <sheetView zoomScale="110" zoomScaleNormal="70" zoomScaleSheetLayoutView="75" zoomScalePageLayoutView="75" workbookViewId="0"/>
  </sheetViews>
  <sheetFormatPr defaultColWidth="0" defaultRowHeight="13.2" zeroHeight="1"/>
  <cols>
    <col min="1" max="1" width="16.44140625" style="439" customWidth="1"/>
    <col min="2" max="2" width="19.33203125" style="4" customWidth="1"/>
    <col min="3" max="3" width="7.88671875" style="4" customWidth="1"/>
    <col min="4" max="4" width="21.6640625" style="4" customWidth="1"/>
    <col min="5" max="5" width="23.5546875" style="4" customWidth="1"/>
    <col min="6" max="6" width="56.5546875" style="4" customWidth="1"/>
    <col min="7" max="16384" width="0" style="4" hidden="1"/>
  </cols>
  <sheetData>
    <row r="1" spans="1:6" ht="15.6">
      <c r="A1" s="437" t="s">
        <v>803</v>
      </c>
      <c r="B1" s="438"/>
      <c r="C1" s="438"/>
      <c r="D1" s="438"/>
      <c r="E1" s="438"/>
      <c r="F1" s="29"/>
    </row>
    <row r="2" spans="1:6" s="5" customFormat="1" ht="36" customHeight="1">
      <c r="A2" s="91" t="s">
        <v>605</v>
      </c>
      <c r="B2" s="91" t="s">
        <v>615</v>
      </c>
      <c r="C2" s="91" t="s">
        <v>606</v>
      </c>
      <c r="D2" s="91" t="s">
        <v>616</v>
      </c>
      <c r="E2" s="91" t="s">
        <v>607</v>
      </c>
      <c r="F2" s="91" t="s">
        <v>618</v>
      </c>
    </row>
    <row r="3" spans="1:6" ht="30.6">
      <c r="A3" s="539" t="s">
        <v>608</v>
      </c>
      <c r="B3" s="542" t="s">
        <v>80</v>
      </c>
      <c r="C3" s="545" t="s">
        <v>609</v>
      </c>
      <c r="D3" s="240" t="s">
        <v>469</v>
      </c>
      <c r="E3" s="542" t="s">
        <v>68</v>
      </c>
      <c r="F3" s="241" t="s">
        <v>914</v>
      </c>
    </row>
    <row r="4" spans="1:6" ht="32.4" customHeight="1">
      <c r="A4" s="539"/>
      <c r="B4" s="542"/>
      <c r="C4" s="545"/>
      <c r="D4" s="240" t="s">
        <v>912</v>
      </c>
      <c r="E4" s="542"/>
      <c r="F4" s="29"/>
    </row>
    <row r="5" spans="1:6" ht="40.799999999999997">
      <c r="A5" s="539"/>
      <c r="B5" s="542"/>
      <c r="C5" s="545"/>
      <c r="D5" s="240" t="s">
        <v>913</v>
      </c>
      <c r="E5" s="542"/>
      <c r="F5" s="29"/>
    </row>
    <row r="6" spans="1:6" ht="29.25" customHeight="1">
      <c r="A6" s="539"/>
      <c r="B6" s="542"/>
      <c r="C6" s="545"/>
      <c r="D6" s="240" t="s">
        <v>1050</v>
      </c>
      <c r="E6" s="542"/>
      <c r="F6" s="29"/>
    </row>
    <row r="7" spans="1:6" ht="80.25" customHeight="1">
      <c r="A7" s="540"/>
      <c r="B7" s="547"/>
      <c r="C7" s="546"/>
      <c r="D7" s="472"/>
      <c r="E7" s="547"/>
      <c r="F7" s="473"/>
    </row>
    <row r="8" spans="1:6" ht="225" customHeight="1">
      <c r="A8" s="474" t="s">
        <v>915</v>
      </c>
      <c r="B8" s="475" t="s">
        <v>332</v>
      </c>
      <c r="C8" s="476" t="s">
        <v>300</v>
      </c>
      <c r="D8" s="475" t="s">
        <v>468</v>
      </c>
      <c r="E8" s="475" t="s">
        <v>457</v>
      </c>
      <c r="F8" s="477" t="s">
        <v>916</v>
      </c>
    </row>
    <row r="9" spans="1:6" ht="72" customHeight="1">
      <c r="A9" s="478" t="s">
        <v>610</v>
      </c>
      <c r="B9" s="541" t="s">
        <v>917</v>
      </c>
      <c r="C9" s="544" t="s">
        <v>611</v>
      </c>
      <c r="D9" s="541" t="s">
        <v>470</v>
      </c>
      <c r="E9" s="479" t="s">
        <v>79</v>
      </c>
      <c r="F9" s="544" t="s">
        <v>918</v>
      </c>
    </row>
    <row r="10" spans="1:6" ht="142.5" customHeight="1">
      <c r="A10" s="239"/>
      <c r="B10" s="542"/>
      <c r="C10" s="545"/>
      <c r="D10" s="542"/>
      <c r="E10" s="240" t="s">
        <v>456</v>
      </c>
      <c r="F10" s="545"/>
    </row>
    <row r="11" spans="1:6" ht="95.25" customHeight="1">
      <c r="A11" s="239"/>
      <c r="B11" s="240" t="s">
        <v>431</v>
      </c>
      <c r="C11" s="241" t="s">
        <v>948</v>
      </c>
      <c r="D11" s="240" t="s">
        <v>969</v>
      </c>
      <c r="E11" s="240" t="s">
        <v>612</v>
      </c>
      <c r="F11" s="29"/>
    </row>
    <row r="12" spans="1:6" ht="176.25" customHeight="1">
      <c r="A12" s="480"/>
      <c r="B12" s="472" t="s">
        <v>198</v>
      </c>
      <c r="C12" s="481" t="s">
        <v>609</v>
      </c>
      <c r="D12" s="472" t="s">
        <v>333</v>
      </c>
      <c r="E12" s="472" t="s">
        <v>334</v>
      </c>
      <c r="F12" s="473"/>
    </row>
    <row r="13" spans="1:6" ht="237.75" customHeight="1">
      <c r="A13" s="538" t="s">
        <v>294</v>
      </c>
      <c r="B13" s="541" t="s">
        <v>919</v>
      </c>
      <c r="C13" s="482" t="s">
        <v>1051</v>
      </c>
      <c r="D13" s="479" t="s">
        <v>473</v>
      </c>
      <c r="E13" s="479" t="s">
        <v>69</v>
      </c>
      <c r="F13" s="544" t="s">
        <v>977</v>
      </c>
    </row>
    <row r="14" spans="1:6" ht="73.5" customHeight="1">
      <c r="A14" s="539"/>
      <c r="B14" s="542"/>
      <c r="C14" s="241" t="s">
        <v>1052</v>
      </c>
      <c r="D14" s="240"/>
      <c r="E14" s="451" t="s">
        <v>78</v>
      </c>
      <c r="F14" s="545"/>
    </row>
    <row r="15" spans="1:6" ht="117.75" customHeight="1">
      <c r="A15" s="540"/>
      <c r="B15" s="547"/>
      <c r="C15" s="483"/>
      <c r="D15" s="472"/>
      <c r="E15" s="484" t="s">
        <v>455</v>
      </c>
      <c r="F15" s="473"/>
    </row>
    <row r="16" spans="1:6" ht="209.25" customHeight="1">
      <c r="A16" s="538" t="s">
        <v>295</v>
      </c>
      <c r="B16" s="541" t="s">
        <v>296</v>
      </c>
      <c r="C16" s="544" t="s">
        <v>297</v>
      </c>
      <c r="D16" s="479" t="s">
        <v>962</v>
      </c>
      <c r="E16" s="479" t="s">
        <v>592</v>
      </c>
      <c r="F16" s="482" t="s">
        <v>959</v>
      </c>
    </row>
    <row r="17" spans="1:6" ht="7.5" customHeight="1">
      <c r="A17" s="540"/>
      <c r="B17" s="547"/>
      <c r="C17" s="546"/>
      <c r="D17" s="472"/>
      <c r="E17" s="472"/>
      <c r="F17" s="473"/>
    </row>
    <row r="18" spans="1:6" ht="237" customHeight="1">
      <c r="A18" s="474" t="s">
        <v>298</v>
      </c>
      <c r="B18" s="475" t="s">
        <v>299</v>
      </c>
      <c r="C18" s="476" t="s">
        <v>300</v>
      </c>
      <c r="D18" s="485" t="s">
        <v>450</v>
      </c>
      <c r="E18" s="475" t="s">
        <v>199</v>
      </c>
      <c r="F18" s="476" t="s">
        <v>633</v>
      </c>
    </row>
    <row r="19" spans="1:6" ht="93.75" customHeight="1">
      <c r="A19" s="538" t="s">
        <v>829</v>
      </c>
      <c r="B19" s="541" t="s">
        <v>471</v>
      </c>
      <c r="C19" s="544" t="s">
        <v>634</v>
      </c>
      <c r="D19" s="479" t="s">
        <v>961</v>
      </c>
      <c r="E19" s="479" t="s">
        <v>67</v>
      </c>
      <c r="F19" s="482" t="s">
        <v>960</v>
      </c>
    </row>
    <row r="20" spans="1:6" ht="78" customHeight="1">
      <c r="A20" s="539"/>
      <c r="B20" s="542"/>
      <c r="C20" s="545"/>
      <c r="D20" s="240" t="s">
        <v>968</v>
      </c>
      <c r="E20" s="240"/>
      <c r="F20" s="29"/>
    </row>
    <row r="21" spans="1:6" ht="55.5" customHeight="1">
      <c r="A21" s="540"/>
      <c r="B21" s="547"/>
      <c r="C21" s="546"/>
      <c r="D21" s="472"/>
      <c r="E21" s="483"/>
      <c r="F21" s="473"/>
    </row>
    <row r="22" spans="1:6" ht="47.25" customHeight="1">
      <c r="A22" s="538" t="s">
        <v>635</v>
      </c>
      <c r="B22" s="541" t="s">
        <v>472</v>
      </c>
      <c r="C22" s="544" t="s">
        <v>636</v>
      </c>
      <c r="D22" s="479" t="s">
        <v>757</v>
      </c>
      <c r="E22" s="479" t="s">
        <v>10</v>
      </c>
      <c r="F22" s="482" t="s">
        <v>958</v>
      </c>
    </row>
    <row r="23" spans="1:6" ht="174" customHeight="1">
      <c r="A23" s="540"/>
      <c r="B23" s="547"/>
      <c r="C23" s="546"/>
      <c r="D23" s="472" t="s">
        <v>1107</v>
      </c>
      <c r="E23" s="472"/>
      <c r="F23" s="473"/>
    </row>
    <row r="24" spans="1:6" ht="124.5" customHeight="1">
      <c r="A24" s="538" t="s">
        <v>376</v>
      </c>
      <c r="B24" s="541" t="s">
        <v>617</v>
      </c>
      <c r="C24" s="544" t="s">
        <v>636</v>
      </c>
      <c r="D24" s="479" t="s">
        <v>76</v>
      </c>
      <c r="E24" s="479" t="s">
        <v>70</v>
      </c>
      <c r="F24" s="482" t="s">
        <v>326</v>
      </c>
    </row>
    <row r="25" spans="1:6" ht="336" customHeight="1">
      <c r="A25" s="540"/>
      <c r="B25" s="547"/>
      <c r="C25" s="546"/>
      <c r="D25" s="472" t="s">
        <v>967</v>
      </c>
      <c r="E25" s="472" t="s">
        <v>77</v>
      </c>
      <c r="F25" s="473"/>
    </row>
    <row r="26" spans="1:6" ht="192.75" customHeight="1">
      <c r="A26" s="538" t="s">
        <v>613</v>
      </c>
      <c r="B26" s="479" t="s">
        <v>1049</v>
      </c>
      <c r="C26" s="482" t="s">
        <v>636</v>
      </c>
      <c r="D26" s="479" t="s">
        <v>451</v>
      </c>
      <c r="E26" s="479" t="s">
        <v>452</v>
      </c>
      <c r="F26" s="482" t="s">
        <v>324</v>
      </c>
    </row>
    <row r="27" spans="1:6" ht="199.5" customHeight="1">
      <c r="A27" s="539"/>
      <c r="B27" s="542" t="s">
        <v>200</v>
      </c>
      <c r="C27" s="545" t="s">
        <v>614</v>
      </c>
      <c r="D27" s="240" t="s">
        <v>970</v>
      </c>
      <c r="E27" s="240" t="s">
        <v>338</v>
      </c>
      <c r="F27" s="29"/>
    </row>
    <row r="28" spans="1:6" ht="87.75" customHeight="1">
      <c r="A28" s="540"/>
      <c r="B28" s="547"/>
      <c r="C28" s="546"/>
      <c r="D28" s="472" t="s">
        <v>81</v>
      </c>
      <c r="E28" s="483"/>
      <c r="F28" s="473"/>
    </row>
    <row r="29" spans="1:6" ht="145.19999999999999">
      <c r="A29" s="538" t="s">
        <v>372</v>
      </c>
      <c r="B29" s="541" t="s">
        <v>849</v>
      </c>
      <c r="C29" s="544" t="s">
        <v>373</v>
      </c>
      <c r="D29" s="479" t="s">
        <v>82</v>
      </c>
      <c r="E29" s="479" t="s">
        <v>323</v>
      </c>
      <c r="F29" s="482" t="s">
        <v>325</v>
      </c>
    </row>
    <row r="30" spans="1:6" ht="14.25" customHeight="1">
      <c r="A30" s="539"/>
      <c r="B30" s="542"/>
      <c r="C30" s="545"/>
      <c r="D30" s="240" t="s">
        <v>83</v>
      </c>
      <c r="E30" s="543" t="s">
        <v>804</v>
      </c>
      <c r="F30" s="29"/>
    </row>
    <row r="31" spans="1:6" ht="16.5" customHeight="1">
      <c r="A31" s="539"/>
      <c r="B31" s="542"/>
      <c r="C31" s="545"/>
      <c r="D31" s="240" t="s">
        <v>374</v>
      </c>
      <c r="E31" s="543"/>
      <c r="F31" s="29"/>
    </row>
    <row r="32" spans="1:6">
      <c r="A32" s="539"/>
      <c r="B32" s="542"/>
      <c r="C32" s="545"/>
      <c r="D32" s="240" t="s">
        <v>963</v>
      </c>
      <c r="E32" s="543"/>
      <c r="F32" s="29"/>
    </row>
    <row r="33" spans="1:7" ht="10.5" customHeight="1">
      <c r="A33" s="539"/>
      <c r="B33" s="542"/>
      <c r="C33" s="545"/>
      <c r="D33" s="240" t="s">
        <v>964</v>
      </c>
      <c r="E33" s="543"/>
      <c r="F33" s="29"/>
    </row>
    <row r="34" spans="1:7">
      <c r="A34" s="539"/>
      <c r="B34" s="542"/>
      <c r="C34" s="545"/>
      <c r="D34" s="240" t="s">
        <v>375</v>
      </c>
      <c r="E34" s="543"/>
      <c r="F34" s="29"/>
    </row>
    <row r="35" spans="1:7" ht="12.75" customHeight="1">
      <c r="A35" s="539"/>
      <c r="B35" s="542"/>
      <c r="C35" s="545"/>
      <c r="D35" s="240" t="s">
        <v>965</v>
      </c>
      <c r="E35" s="543"/>
      <c r="F35" s="29"/>
    </row>
    <row r="36" spans="1:7" ht="55.5" customHeight="1">
      <c r="A36" s="539"/>
      <c r="B36" s="542"/>
      <c r="C36" s="545"/>
      <c r="D36" s="240" t="s">
        <v>966</v>
      </c>
      <c r="E36" s="543"/>
      <c r="F36" s="29"/>
    </row>
    <row r="37" spans="1:7" ht="105" customHeight="1">
      <c r="A37" s="539"/>
      <c r="B37" s="542" t="s">
        <v>71</v>
      </c>
      <c r="C37" s="545" t="s">
        <v>373</v>
      </c>
      <c r="D37" s="240" t="s">
        <v>340</v>
      </c>
      <c r="E37" s="240" t="s">
        <v>66</v>
      </c>
      <c r="F37" s="29"/>
    </row>
    <row r="38" spans="1:7" ht="124.5" customHeight="1">
      <c r="A38" s="540"/>
      <c r="B38" s="547"/>
      <c r="C38" s="546"/>
      <c r="D38" s="472" t="s">
        <v>39</v>
      </c>
      <c r="E38" s="472"/>
      <c r="F38" s="473"/>
    </row>
    <row r="39" spans="1:7" ht="164.25" customHeight="1">
      <c r="A39" s="239" t="s">
        <v>850</v>
      </c>
      <c r="B39" s="240" t="s">
        <v>851</v>
      </c>
      <c r="C39" s="241" t="s">
        <v>300</v>
      </c>
      <c r="D39" s="240" t="s">
        <v>339</v>
      </c>
      <c r="E39" s="240" t="s">
        <v>432</v>
      </c>
      <c r="F39" s="241" t="s">
        <v>852</v>
      </c>
    </row>
    <row r="40" spans="1:7" ht="88.5" customHeight="1">
      <c r="A40" s="250"/>
      <c r="B40" s="29"/>
      <c r="C40" s="29"/>
      <c r="D40" s="29"/>
      <c r="E40" s="29"/>
      <c r="F40" s="29"/>
    </row>
    <row r="41" spans="1:7" ht="12" customHeight="1">
      <c r="A41" s="250"/>
      <c r="B41" s="29"/>
      <c r="C41" s="29"/>
      <c r="D41" s="29"/>
      <c r="E41" s="29"/>
      <c r="F41" s="29"/>
    </row>
    <row r="42" spans="1:7" ht="15.75" customHeight="1">
      <c r="A42" s="487" t="s">
        <v>776</v>
      </c>
      <c r="B42" s="487"/>
      <c r="C42" s="487"/>
      <c r="D42" s="487"/>
      <c r="E42" s="487"/>
      <c r="F42" s="487"/>
      <c r="G42" s="20"/>
    </row>
    <row r="43" spans="1:7" hidden="1"/>
    <row r="44" spans="1:7" hidden="1"/>
    <row r="45" spans="1:7" hidden="1"/>
  </sheetData>
  <sheetProtection password="CAF1" sheet="1" objects="1" scenarios="1" formatCells="0" formatColumns="0" formatRows="0" insertColumns="0" insertRows="0" insertHyperlinks="0" deleteColumns="0" deleteRows="0" sort="0" autoFilter="0" pivotTables="0"/>
  <mergeCells count="33">
    <mergeCell ref="C9:C10"/>
    <mergeCell ref="A13:A15"/>
    <mergeCell ref="C19:C21"/>
    <mergeCell ref="B13:B15"/>
    <mergeCell ref="F13:F14"/>
    <mergeCell ref="F9:F10"/>
    <mergeCell ref="D9:D10"/>
    <mergeCell ref="A42:F42"/>
    <mergeCell ref="A26:A28"/>
    <mergeCell ref="B27:B28"/>
    <mergeCell ref="B37:B38"/>
    <mergeCell ref="C37:C38"/>
    <mergeCell ref="E3:E7"/>
    <mergeCell ref="A3:A7"/>
    <mergeCell ref="B3:B7"/>
    <mergeCell ref="C3:C7"/>
    <mergeCell ref="B24:B25"/>
    <mergeCell ref="C24:C25"/>
    <mergeCell ref="A16:A17"/>
    <mergeCell ref="B16:B17"/>
    <mergeCell ref="A24:A25"/>
    <mergeCell ref="A22:A23"/>
    <mergeCell ref="B22:B23"/>
    <mergeCell ref="C22:C23"/>
    <mergeCell ref="A19:A21"/>
    <mergeCell ref="B19:B21"/>
    <mergeCell ref="B9:B10"/>
    <mergeCell ref="C16:C17"/>
    <mergeCell ref="A29:A38"/>
    <mergeCell ref="B29:B36"/>
    <mergeCell ref="E30:E36"/>
    <mergeCell ref="C29:C36"/>
    <mergeCell ref="C27:C28"/>
  </mergeCells>
  <phoneticPr fontId="27" type="noConversion"/>
  <hyperlinks>
    <hyperlink ref="A42:G42" location="Титул!A1" display="Вернуться к Содержанию"/>
  </hyperlinks>
  <printOptions horizontalCentered="1"/>
  <pageMargins left="0.23622047244094491" right="0.23622047244094491" top="0.55118110236220474" bottom="0.35433070866141736" header="0.11811023622047245" footer="0.31496062992125984"/>
  <pageSetup paperSize="9" firstPageNumber="22" orientation="landscape" useFirstPageNumber="1" r:id="rId1"/>
  <headerFooter alignWithMargins="0">
    <oddHeader>&amp;L&amp;"Times New Roman,полужирный"Газпром в цифрах 2006-2010 гг.&amp;R&amp;"Times New Roman,полужирный"Справочник</oddHeader>
    <oddFooter>&amp;C&amp;P</oddFooter>
  </headerFooter>
  <rowBreaks count="5" manualBreakCount="5">
    <brk id="8" max="5" man="1"/>
    <brk id="12" max="5" man="1"/>
    <brk id="18" max="5" man="1"/>
    <brk id="23" max="16383" man="1"/>
    <brk id="28" max="5" man="1"/>
  </rowBreaks>
  <drawing r:id="rId2"/>
</worksheet>
</file>

<file path=xl/worksheets/sheet18.xml><?xml version="1.0" encoding="utf-8"?>
<worksheet xmlns="http://schemas.openxmlformats.org/spreadsheetml/2006/main" xmlns:r="http://schemas.openxmlformats.org/officeDocument/2006/relationships">
  <sheetPr codeName="Лист18" enableFormatConditionsCalculation="0"/>
  <dimension ref="A1:F53"/>
  <sheetViews>
    <sheetView zoomScaleNormal="100" zoomScaleSheetLayoutView="100" workbookViewId="0"/>
  </sheetViews>
  <sheetFormatPr defaultColWidth="0" defaultRowHeight="13.2" zeroHeight="1"/>
  <cols>
    <col min="1" max="1" width="24.6640625" style="2" customWidth="1"/>
    <col min="2" max="2" width="36.5546875" style="2" customWidth="1"/>
    <col min="3" max="3" width="12.5546875" style="2" customWidth="1"/>
    <col min="4" max="4" width="14.5546875" style="2" customWidth="1"/>
    <col min="5" max="5" width="11.5546875" style="2" customWidth="1"/>
    <col min="6" max="16384" width="0" style="2" hidden="1"/>
  </cols>
  <sheetData>
    <row r="1" spans="1:5" ht="15.6">
      <c r="A1" s="51" t="s">
        <v>921</v>
      </c>
      <c r="B1" s="28"/>
      <c r="C1" s="28"/>
      <c r="D1" s="28"/>
      <c r="E1" s="28"/>
    </row>
    <row r="2" spans="1:5">
      <c r="A2" s="226" t="s">
        <v>923</v>
      </c>
      <c r="B2" s="28"/>
      <c r="C2" s="28"/>
      <c r="D2" s="28"/>
      <c r="E2" s="28"/>
    </row>
    <row r="3" spans="1:5" ht="20.100000000000001" customHeight="1">
      <c r="A3" s="226"/>
      <c r="B3" s="28"/>
      <c r="C3" s="28"/>
      <c r="D3" s="28"/>
      <c r="E3" s="28"/>
    </row>
    <row r="4" spans="1:5" ht="20.100000000000001" customHeight="1">
      <c r="A4" s="226"/>
      <c r="B4" s="28"/>
      <c r="C4" s="28"/>
      <c r="D4" s="28"/>
      <c r="E4" s="28"/>
    </row>
    <row r="5" spans="1:5" ht="20.100000000000001" customHeight="1">
      <c r="A5" s="226"/>
      <c r="B5" s="28"/>
      <c r="C5" s="28"/>
      <c r="D5" s="28"/>
      <c r="E5" s="28"/>
    </row>
    <row r="6" spans="1:5" ht="20.100000000000001" customHeight="1">
      <c r="A6" s="226"/>
      <c r="B6" s="28"/>
      <c r="C6" s="28"/>
      <c r="D6" s="28"/>
      <c r="E6" s="28"/>
    </row>
    <row r="7" spans="1:5" ht="20.100000000000001" customHeight="1">
      <c r="A7" s="226"/>
      <c r="B7" s="28"/>
      <c r="C7" s="28"/>
      <c r="D7" s="28"/>
      <c r="E7" s="28"/>
    </row>
    <row r="8" spans="1:5" ht="20.100000000000001" customHeight="1">
      <c r="A8" s="226"/>
      <c r="B8" s="28"/>
      <c r="C8" s="28"/>
      <c r="D8" s="28"/>
      <c r="E8" s="28"/>
    </row>
    <row r="9" spans="1:5" ht="20.100000000000001" customHeight="1">
      <c r="A9" s="226"/>
      <c r="B9" s="28"/>
      <c r="C9" s="28"/>
      <c r="D9" s="28"/>
      <c r="E9" s="28"/>
    </row>
    <row r="10" spans="1:5" ht="20.100000000000001" customHeight="1">
      <c r="A10" s="226"/>
      <c r="B10" s="28"/>
      <c r="C10" s="28"/>
      <c r="D10" s="28"/>
      <c r="E10" s="28"/>
    </row>
    <row r="11" spans="1:5" ht="20.100000000000001" customHeight="1">
      <c r="A11" s="226"/>
      <c r="B11" s="28"/>
      <c r="C11" s="28"/>
      <c r="D11" s="28"/>
      <c r="E11" s="28"/>
    </row>
    <row r="12" spans="1:5" ht="20.100000000000001" customHeight="1">
      <c r="A12" s="226"/>
      <c r="B12" s="28"/>
      <c r="C12" s="28"/>
      <c r="D12" s="28"/>
      <c r="E12" s="28"/>
    </row>
    <row r="13" spans="1:5" ht="20.100000000000001" customHeight="1">
      <c r="A13" s="226"/>
      <c r="B13" s="28"/>
      <c r="C13" s="28"/>
      <c r="D13" s="28"/>
      <c r="E13" s="28"/>
    </row>
    <row r="14" spans="1:5" ht="20.100000000000001" customHeight="1">
      <c r="A14" s="226"/>
      <c r="B14" s="28"/>
      <c r="C14" s="28"/>
      <c r="D14" s="28"/>
      <c r="E14" s="28"/>
    </row>
    <row r="15" spans="1:5" ht="20.100000000000001" customHeight="1">
      <c r="A15" s="226"/>
      <c r="B15" s="28"/>
      <c r="C15" s="28"/>
      <c r="D15" s="28"/>
      <c r="E15" s="28"/>
    </row>
    <row r="16" spans="1:5" ht="20.100000000000001" customHeight="1">
      <c r="A16" s="226"/>
      <c r="B16" s="28"/>
      <c r="C16" s="28"/>
      <c r="D16" s="28"/>
      <c r="E16" s="28"/>
    </row>
    <row r="17" spans="1:5" ht="20.100000000000001" customHeight="1">
      <c r="A17" s="226"/>
      <c r="B17" s="28"/>
      <c r="C17" s="28"/>
      <c r="D17" s="28"/>
      <c r="E17" s="28"/>
    </row>
    <row r="18" spans="1:5" ht="20.100000000000001" customHeight="1">
      <c r="A18" s="226"/>
      <c r="B18" s="28"/>
      <c r="C18" s="28"/>
      <c r="D18" s="28"/>
      <c r="E18" s="28"/>
    </row>
    <row r="19" spans="1:5" ht="20.100000000000001" customHeight="1">
      <c r="A19" s="226"/>
      <c r="B19" s="28"/>
      <c r="C19" s="28"/>
      <c r="D19" s="28"/>
      <c r="E19" s="28"/>
    </row>
    <row r="20" spans="1:5">
      <c r="A20" s="226" t="s">
        <v>924</v>
      </c>
      <c r="B20" s="28"/>
      <c r="C20" s="28"/>
      <c r="D20" s="28"/>
      <c r="E20" s="28"/>
    </row>
    <row r="21" spans="1:5" ht="30.6">
      <c r="A21" s="25" t="s">
        <v>925</v>
      </c>
      <c r="B21" s="25" t="s">
        <v>926</v>
      </c>
      <c r="C21" s="25" t="s">
        <v>927</v>
      </c>
      <c r="D21" s="25" t="s">
        <v>928</v>
      </c>
      <c r="E21" s="25" t="s">
        <v>929</v>
      </c>
    </row>
    <row r="22" spans="1:5" ht="15" customHeight="1">
      <c r="A22" s="548" t="s">
        <v>930</v>
      </c>
      <c r="B22" s="548"/>
      <c r="C22" s="548"/>
      <c r="D22" s="548"/>
      <c r="E22" s="548"/>
    </row>
    <row r="23" spans="1:5" ht="55.95" customHeight="1">
      <c r="A23" s="147" t="s">
        <v>931</v>
      </c>
      <c r="B23" s="517" t="s">
        <v>1076</v>
      </c>
      <c r="C23" s="148" t="s">
        <v>932</v>
      </c>
      <c r="D23" s="148" t="s">
        <v>933</v>
      </c>
      <c r="E23" s="148" t="s">
        <v>1074</v>
      </c>
    </row>
    <row r="24" spans="1:5" ht="72" customHeight="1">
      <c r="A24" s="81" t="s">
        <v>934</v>
      </c>
      <c r="B24" s="518"/>
      <c r="C24" s="244" t="s">
        <v>935</v>
      </c>
      <c r="D24" s="244" t="s">
        <v>300</v>
      </c>
      <c r="E24" s="244" t="s">
        <v>1074</v>
      </c>
    </row>
    <row r="25" spans="1:5" ht="49.2" customHeight="1">
      <c r="A25" s="50" t="s">
        <v>936</v>
      </c>
      <c r="B25" s="251" t="s">
        <v>75</v>
      </c>
      <c r="C25" s="26" t="s">
        <v>937</v>
      </c>
      <c r="D25" s="26" t="s">
        <v>938</v>
      </c>
      <c r="E25" s="26" t="s">
        <v>953</v>
      </c>
    </row>
    <row r="26" spans="1:5" ht="28.5" customHeight="1">
      <c r="A26" s="50" t="s">
        <v>939</v>
      </c>
      <c r="B26" s="251" t="s">
        <v>940</v>
      </c>
      <c r="C26" s="26" t="s">
        <v>941</v>
      </c>
      <c r="D26" s="26" t="s">
        <v>300</v>
      </c>
      <c r="E26" s="26" t="s">
        <v>942</v>
      </c>
    </row>
    <row r="27" spans="1:5" ht="40.950000000000003" customHeight="1">
      <c r="A27" s="50" t="s">
        <v>943</v>
      </c>
      <c r="B27" s="251" t="s">
        <v>853</v>
      </c>
      <c r="C27" s="26" t="s">
        <v>944</v>
      </c>
      <c r="D27" s="26" t="s">
        <v>942</v>
      </c>
      <c r="E27" s="26" t="s">
        <v>1074</v>
      </c>
    </row>
    <row r="28" spans="1:5" ht="20.399999999999999">
      <c r="A28" s="549" t="s">
        <v>945</v>
      </c>
      <c r="B28" s="48" t="s">
        <v>946</v>
      </c>
      <c r="C28" s="148"/>
      <c r="D28" s="148"/>
      <c r="E28" s="28"/>
    </row>
    <row r="29" spans="1:5" ht="59.25" customHeight="1">
      <c r="A29" s="549"/>
      <c r="B29" s="251" t="s">
        <v>854</v>
      </c>
      <c r="C29" s="26" t="s">
        <v>947</v>
      </c>
      <c r="D29" s="26" t="s">
        <v>948</v>
      </c>
      <c r="E29" s="252" t="s">
        <v>1075</v>
      </c>
    </row>
    <row r="30" spans="1:5" ht="50.25" customHeight="1">
      <c r="A30" s="549"/>
      <c r="B30" s="253" t="s">
        <v>855</v>
      </c>
      <c r="C30" s="254" t="s">
        <v>856</v>
      </c>
      <c r="D30" s="148" t="s">
        <v>609</v>
      </c>
      <c r="E30" s="255"/>
    </row>
    <row r="31" spans="1:5" ht="60" customHeight="1">
      <c r="A31" s="549"/>
      <c r="B31" s="251" t="s">
        <v>1053</v>
      </c>
      <c r="C31" s="256" t="s">
        <v>158</v>
      </c>
      <c r="D31" s="26" t="s">
        <v>1073</v>
      </c>
      <c r="E31" s="257" t="s">
        <v>477</v>
      </c>
    </row>
    <row r="32" spans="1:5" ht="60" customHeight="1">
      <c r="A32" s="258" t="s">
        <v>1145</v>
      </c>
      <c r="B32" s="259" t="s">
        <v>857</v>
      </c>
      <c r="C32" s="256" t="s">
        <v>72</v>
      </c>
      <c r="D32" s="257" t="s">
        <v>634</v>
      </c>
      <c r="E32" s="260" t="s">
        <v>373</v>
      </c>
    </row>
    <row r="33" spans="1:5" ht="142.5" customHeight="1" thickBot="1">
      <c r="A33" s="245" t="s">
        <v>949</v>
      </c>
      <c r="B33" s="261" t="s">
        <v>1054</v>
      </c>
      <c r="C33" s="262" t="s">
        <v>950</v>
      </c>
      <c r="D33" s="123" t="s">
        <v>373</v>
      </c>
      <c r="E33" s="246" t="s">
        <v>300</v>
      </c>
    </row>
    <row r="34" spans="1:5" ht="13.5" customHeight="1" thickTop="1">
      <c r="A34" s="551" t="s">
        <v>951</v>
      </c>
      <c r="B34" s="551"/>
      <c r="C34" s="551"/>
      <c r="D34" s="551"/>
      <c r="E34" s="551"/>
    </row>
    <row r="35" spans="1:5" ht="81.599999999999994">
      <c r="A35" s="147" t="s">
        <v>952</v>
      </c>
      <c r="B35" s="147" t="s">
        <v>862</v>
      </c>
      <c r="C35" s="148" t="s">
        <v>73</v>
      </c>
      <c r="D35" s="148" t="s">
        <v>953</v>
      </c>
      <c r="E35" s="148" t="s">
        <v>1071</v>
      </c>
    </row>
    <row r="36" spans="1:5">
      <c r="A36" s="263"/>
      <c r="B36" s="239"/>
      <c r="C36" s="239"/>
      <c r="D36" s="239"/>
      <c r="E36" s="239"/>
    </row>
    <row r="37" spans="1:5" ht="38.4" customHeight="1" thickBot="1">
      <c r="A37" s="245" t="s">
        <v>172</v>
      </c>
      <c r="B37" s="264" t="s">
        <v>863</v>
      </c>
      <c r="C37" s="265" t="s">
        <v>864</v>
      </c>
      <c r="D37" s="265" t="s">
        <v>1</v>
      </c>
      <c r="E37" s="265" t="s">
        <v>865</v>
      </c>
    </row>
    <row r="38" spans="1:5" ht="12.75" customHeight="1" thickTop="1">
      <c r="A38" s="551" t="s">
        <v>866</v>
      </c>
      <c r="B38" s="551"/>
      <c r="C38" s="551"/>
      <c r="D38" s="551"/>
      <c r="E38" s="551"/>
    </row>
    <row r="39" spans="1:5" ht="138.75" customHeight="1" thickBot="1">
      <c r="A39" s="240" t="s">
        <v>867</v>
      </c>
      <c r="B39" s="124" t="s">
        <v>868</v>
      </c>
      <c r="C39" s="260" t="s">
        <v>869</v>
      </c>
      <c r="D39" s="260" t="s">
        <v>870</v>
      </c>
      <c r="E39" s="266" t="s">
        <v>871</v>
      </c>
    </row>
    <row r="40" spans="1:5" ht="12.75" customHeight="1" thickTop="1">
      <c r="A40" s="551" t="s">
        <v>954</v>
      </c>
      <c r="B40" s="551"/>
      <c r="C40" s="551"/>
      <c r="D40" s="551"/>
      <c r="E40" s="551"/>
    </row>
    <row r="41" spans="1:5" ht="147.75" customHeight="1">
      <c r="A41" s="549" t="s">
        <v>733</v>
      </c>
      <c r="B41" s="48" t="s">
        <v>0</v>
      </c>
      <c r="C41" s="550" t="s">
        <v>758</v>
      </c>
      <c r="D41" s="550" t="s">
        <v>1</v>
      </c>
      <c r="E41" s="550" t="s">
        <v>1072</v>
      </c>
    </row>
    <row r="42" spans="1:5" ht="47.25" customHeight="1">
      <c r="A42" s="549"/>
      <c r="B42" s="49" t="s">
        <v>433</v>
      </c>
      <c r="C42" s="550"/>
      <c r="D42" s="550"/>
      <c r="E42" s="550"/>
    </row>
    <row r="43" spans="1:5" ht="16.5" customHeight="1" thickBot="1">
      <c r="A43" s="245" t="s">
        <v>735</v>
      </c>
      <c r="B43" s="267" t="s">
        <v>2</v>
      </c>
      <c r="C43" s="246" t="s">
        <v>3</v>
      </c>
      <c r="D43" s="246" t="s">
        <v>942</v>
      </c>
      <c r="E43" s="246" t="s">
        <v>4</v>
      </c>
    </row>
    <row r="44" spans="1:5" ht="13.8" thickTop="1">
      <c r="A44" s="551" t="s">
        <v>157</v>
      </c>
      <c r="B44" s="551"/>
      <c r="C44" s="551"/>
      <c r="D44" s="551"/>
      <c r="E44" s="551"/>
    </row>
    <row r="45" spans="1:5" ht="57" customHeight="1" thickBot="1">
      <c r="A45" s="245" t="s">
        <v>737</v>
      </c>
      <c r="B45" s="267" t="s">
        <v>476</v>
      </c>
      <c r="C45" s="246" t="s">
        <v>759</v>
      </c>
      <c r="D45" s="246" t="s">
        <v>4</v>
      </c>
      <c r="E45" s="246" t="s">
        <v>477</v>
      </c>
    </row>
    <row r="46" spans="1:5" ht="13.8" thickTop="1">
      <c r="A46" s="552" t="s">
        <v>478</v>
      </c>
      <c r="B46" s="552"/>
      <c r="C46" s="552"/>
      <c r="D46" s="552"/>
      <c r="E46" s="552"/>
    </row>
    <row r="47" spans="1:5" ht="139.5" customHeight="1" thickBot="1">
      <c r="A47" s="245" t="s">
        <v>191</v>
      </c>
      <c r="B47" s="267" t="s">
        <v>474</v>
      </c>
      <c r="C47" s="268" t="s">
        <v>577</v>
      </c>
      <c r="D47" s="268" t="s">
        <v>479</v>
      </c>
      <c r="E47" s="268" t="s">
        <v>577</v>
      </c>
    </row>
    <row r="48" spans="1:5" ht="13.8" thickTop="1">
      <c r="A48" s="551" t="s">
        <v>858</v>
      </c>
      <c r="B48" s="551"/>
      <c r="C48" s="551"/>
      <c r="D48" s="551"/>
      <c r="E48" s="551"/>
    </row>
    <row r="49" spans="1:6" ht="99.75" customHeight="1" thickBot="1">
      <c r="A49" s="269" t="s">
        <v>859</v>
      </c>
      <c r="B49" s="270" t="s">
        <v>860</v>
      </c>
      <c r="C49" s="271" t="s">
        <v>861</v>
      </c>
      <c r="D49" s="271" t="s">
        <v>1077</v>
      </c>
      <c r="E49" s="265" t="s">
        <v>1</v>
      </c>
    </row>
    <row r="50" spans="1:6" ht="17.399999999999999" customHeight="1" thickTop="1">
      <c r="A50" s="551" t="s">
        <v>480</v>
      </c>
      <c r="B50" s="551"/>
      <c r="C50" s="551"/>
      <c r="D50" s="551"/>
      <c r="E50" s="551"/>
    </row>
    <row r="51" spans="1:6" ht="136.5" customHeight="1" thickBot="1">
      <c r="A51" s="245" t="s">
        <v>481</v>
      </c>
      <c r="B51" s="267" t="s">
        <v>482</v>
      </c>
      <c r="C51" s="272" t="s">
        <v>483</v>
      </c>
      <c r="D51" s="245" t="s">
        <v>74</v>
      </c>
      <c r="E51" s="245" t="s">
        <v>483</v>
      </c>
    </row>
    <row r="52" spans="1:6" ht="13.8" thickTop="1">
      <c r="A52" s="28"/>
      <c r="B52" s="28"/>
      <c r="C52" s="28"/>
      <c r="D52" s="28"/>
      <c r="E52" s="28"/>
    </row>
    <row r="53" spans="1:6">
      <c r="A53" s="487" t="s">
        <v>776</v>
      </c>
      <c r="B53" s="487"/>
      <c r="C53" s="449"/>
      <c r="D53" s="449"/>
      <c r="E53" s="449"/>
      <c r="F53" s="449"/>
    </row>
  </sheetData>
  <sheetProtection password="CAF1" sheet="1" formatCells="0" formatColumns="0" formatRows="0" insertColumns="0" insertRows="0" insertHyperlinks="0" deleteColumns="0" deleteRows="0" sort="0" autoFilter="0" pivotTables="0"/>
  <mergeCells count="15">
    <mergeCell ref="A50:E50"/>
    <mergeCell ref="A53:B53"/>
    <mergeCell ref="A38:E38"/>
    <mergeCell ref="A34:E34"/>
    <mergeCell ref="A40:E40"/>
    <mergeCell ref="A44:E44"/>
    <mergeCell ref="A46:E46"/>
    <mergeCell ref="A48:E48"/>
    <mergeCell ref="A22:E22"/>
    <mergeCell ref="A41:A42"/>
    <mergeCell ref="C41:C42"/>
    <mergeCell ref="D41:D42"/>
    <mergeCell ref="E41:E42"/>
    <mergeCell ref="B23:B24"/>
    <mergeCell ref="A28:A31"/>
  </mergeCells>
  <phoneticPr fontId="27" type="noConversion"/>
  <hyperlinks>
    <hyperlink ref="A53:B53" location="Титул!A1" display="Вернуться к Содержанию"/>
  </hyperlinks>
  <printOptions horizontalCentered="1"/>
  <pageMargins left="0.25" right="0.25" top="0.75" bottom="0.75" header="0.3" footer="0.3"/>
  <pageSetup paperSize="9" firstPageNumber="27" orientation="portrait" useFirstPageNumber="1" r:id="rId1"/>
  <headerFooter alignWithMargins="0">
    <oddHeader>&amp;L&amp;"Times New Roman,полужирный"Газпром в цифрах 2006-2010 гг.&amp;R&amp;"Times New Roman,полужирный"Справочник</oddHeader>
    <oddFooter>&amp;C&amp;P</oddFooter>
  </headerFooter>
  <rowBreaks count="2" manualBreakCount="2">
    <brk id="27" max="4" man="1"/>
    <brk id="39" max="4" man="1"/>
  </rowBreaks>
  <drawing r:id="rId2"/>
</worksheet>
</file>

<file path=xl/worksheets/sheet19.xml><?xml version="1.0" encoding="utf-8"?>
<worksheet xmlns="http://schemas.openxmlformats.org/spreadsheetml/2006/main" xmlns:r="http://schemas.openxmlformats.org/officeDocument/2006/relationships">
  <sheetPr codeName="Лист19"/>
  <dimension ref="A1:G45"/>
  <sheetViews>
    <sheetView zoomScaleNormal="100" zoomScaleSheetLayoutView="100" workbookViewId="0"/>
  </sheetViews>
  <sheetFormatPr defaultColWidth="0" defaultRowHeight="13.2" zeroHeight="1" outlineLevelCol="1"/>
  <cols>
    <col min="1" max="1" width="52.6640625" style="4" customWidth="1"/>
    <col min="2" max="2" width="10" style="4" hidden="1" customWidth="1" outlineLevel="1"/>
    <col min="3" max="3" width="11.33203125" style="4" customWidth="1" collapsed="1"/>
    <col min="4" max="7" width="9.33203125" style="4" customWidth="1"/>
    <col min="8" max="16384" width="0" style="4" hidden="1"/>
  </cols>
  <sheetData>
    <row r="1" spans="1:7" ht="15.6">
      <c r="A1" s="51" t="s">
        <v>625</v>
      </c>
      <c r="B1" s="28"/>
      <c r="C1" s="28"/>
      <c r="D1" s="28"/>
      <c r="E1" s="28"/>
      <c r="F1" s="28"/>
      <c r="G1" s="28"/>
    </row>
    <row r="2" spans="1:7" ht="18" customHeight="1">
      <c r="A2" s="558" t="s">
        <v>742</v>
      </c>
      <c r="B2" s="558"/>
      <c r="C2" s="558"/>
      <c r="D2" s="558"/>
      <c r="E2" s="558"/>
      <c r="F2" s="558"/>
      <c r="G2" s="558"/>
    </row>
    <row r="3" spans="1:7" ht="13.2" customHeight="1">
      <c r="A3" s="125"/>
      <c r="B3" s="488" t="s">
        <v>656</v>
      </c>
      <c r="C3" s="488"/>
      <c r="D3" s="488"/>
      <c r="E3" s="488"/>
      <c r="F3" s="488"/>
      <c r="G3" s="488"/>
    </row>
    <row r="4" spans="1:7">
      <c r="A4" s="125"/>
      <c r="B4" s="24">
        <v>2005</v>
      </c>
      <c r="C4" s="448">
        <v>2006</v>
      </c>
      <c r="D4" s="448">
        <v>2007</v>
      </c>
      <c r="E4" s="448">
        <v>2008</v>
      </c>
      <c r="F4" s="448">
        <v>2009</v>
      </c>
      <c r="G4" s="448">
        <v>2010</v>
      </c>
    </row>
    <row r="5" spans="1:7" ht="22.95" customHeight="1">
      <c r="A5" s="55" t="s">
        <v>911</v>
      </c>
      <c r="B5" s="273">
        <v>1402</v>
      </c>
      <c r="C5" s="273">
        <v>1526</v>
      </c>
      <c r="D5" s="273">
        <v>1157</v>
      </c>
      <c r="E5" s="273">
        <v>1381</v>
      </c>
      <c r="F5" s="55">
        <v>865</v>
      </c>
      <c r="G5" s="273">
        <f>ROUND(1338.6,0)</f>
        <v>1339</v>
      </c>
    </row>
    <row r="6" spans="1:7">
      <c r="A6" s="55" t="s">
        <v>660</v>
      </c>
      <c r="B6" s="206">
        <v>2166.8000000000002</v>
      </c>
      <c r="C6" s="206">
        <v>2809</v>
      </c>
      <c r="D6" s="206">
        <v>2697</v>
      </c>
      <c r="E6" s="206">
        <v>2756.3</v>
      </c>
      <c r="F6" s="206">
        <v>2383.6999999999998</v>
      </c>
      <c r="G6" s="206">
        <v>2427.4</v>
      </c>
    </row>
    <row r="7" spans="1:7" ht="13.8" thickBot="1">
      <c r="A7" s="105" t="s">
        <v>743</v>
      </c>
      <c r="B7" s="105">
        <v>0.14000000000000001</v>
      </c>
      <c r="C7" s="105">
        <v>0.12</v>
      </c>
      <c r="D7" s="105">
        <v>0.11</v>
      </c>
      <c r="E7" s="105">
        <v>0.13</v>
      </c>
      <c r="F7" s="105">
        <v>0.09</v>
      </c>
      <c r="G7" s="105">
        <v>0.04</v>
      </c>
    </row>
    <row r="8" spans="1:7" ht="27" customHeight="1" thickTop="1">
      <c r="A8" s="559" t="s">
        <v>593</v>
      </c>
      <c r="B8" s="559"/>
      <c r="C8" s="559"/>
      <c r="D8" s="559"/>
      <c r="E8" s="559"/>
      <c r="F8" s="559"/>
      <c r="G8" s="559"/>
    </row>
    <row r="9" spans="1:7" ht="13.2" customHeight="1">
      <c r="A9" s="125"/>
      <c r="B9" s="488" t="s">
        <v>744</v>
      </c>
      <c r="C9" s="488"/>
      <c r="D9" s="488"/>
      <c r="E9" s="488"/>
      <c r="F9" s="488"/>
      <c r="G9" s="488"/>
    </row>
    <row r="10" spans="1:7" ht="12.75" customHeight="1">
      <c r="A10" s="125"/>
      <c r="B10" s="24">
        <v>2005</v>
      </c>
      <c r="C10" s="448">
        <v>2006</v>
      </c>
      <c r="D10" s="448">
        <v>2007</v>
      </c>
      <c r="E10" s="448">
        <v>2008</v>
      </c>
      <c r="F10" s="448">
        <v>2009</v>
      </c>
      <c r="G10" s="448">
        <v>2010</v>
      </c>
    </row>
    <row r="11" spans="1:7" ht="23.4" customHeight="1">
      <c r="A11" s="55" t="s">
        <v>11</v>
      </c>
      <c r="B11" s="97">
        <v>155</v>
      </c>
      <c r="C11" s="97">
        <v>156.9</v>
      </c>
      <c r="D11" s="97">
        <v>158.19999999999999</v>
      </c>
      <c r="E11" s="97">
        <v>159.5</v>
      </c>
      <c r="F11" s="97">
        <v>160.4</v>
      </c>
      <c r="G11" s="97">
        <v>161.69999999999999</v>
      </c>
    </row>
    <row r="12" spans="1:7">
      <c r="A12" s="55" t="s">
        <v>12</v>
      </c>
      <c r="B12" s="104">
        <v>210</v>
      </c>
      <c r="C12" s="104">
        <v>217</v>
      </c>
      <c r="D12" s="104">
        <v>218</v>
      </c>
      <c r="E12" s="104">
        <v>214</v>
      </c>
      <c r="F12" s="104">
        <v>215</v>
      </c>
      <c r="G12" s="104">
        <v>215</v>
      </c>
    </row>
    <row r="13" spans="1:7">
      <c r="A13" s="55" t="s">
        <v>745</v>
      </c>
      <c r="B13" s="237">
        <v>3587</v>
      </c>
      <c r="C13" s="237">
        <v>3629</v>
      </c>
      <c r="D13" s="237">
        <v>3641</v>
      </c>
      <c r="E13" s="237">
        <v>3669</v>
      </c>
      <c r="F13" s="237">
        <v>3675</v>
      </c>
      <c r="G13" s="237">
        <v>3659</v>
      </c>
    </row>
    <row r="14" spans="1:7" ht="13.8" thickBot="1">
      <c r="A14" s="105" t="s">
        <v>13</v>
      </c>
      <c r="B14" s="128">
        <v>40.200000000000003</v>
      </c>
      <c r="C14" s="194">
        <v>41</v>
      </c>
      <c r="D14" s="128">
        <v>41.4</v>
      </c>
      <c r="E14" s="128">
        <v>41.6</v>
      </c>
      <c r="F14" s="194">
        <v>42</v>
      </c>
      <c r="G14" s="128">
        <v>42.1</v>
      </c>
    </row>
    <row r="15" spans="1:7" ht="27.75" customHeight="1" thickTop="1">
      <c r="A15" s="559" t="s">
        <v>983</v>
      </c>
      <c r="B15" s="559"/>
      <c r="C15" s="559"/>
      <c r="D15" s="559"/>
      <c r="E15" s="559"/>
      <c r="F15" s="559"/>
      <c r="G15" s="559"/>
    </row>
    <row r="16" spans="1:7" ht="13.2" customHeight="1">
      <c r="A16" s="125"/>
      <c r="B16" s="488" t="s">
        <v>744</v>
      </c>
      <c r="C16" s="488"/>
      <c r="D16" s="488"/>
      <c r="E16" s="488"/>
      <c r="F16" s="488"/>
      <c r="G16" s="488"/>
    </row>
    <row r="17" spans="1:7" ht="12.75" customHeight="1">
      <c r="A17" s="125"/>
      <c r="B17" s="29"/>
      <c r="C17" s="557" t="s">
        <v>746</v>
      </c>
      <c r="D17" s="557"/>
      <c r="E17" s="125"/>
      <c r="F17" s="125"/>
      <c r="G17" s="24" t="s">
        <v>838</v>
      </c>
    </row>
    <row r="18" spans="1:7">
      <c r="A18" s="59" t="s">
        <v>15</v>
      </c>
      <c r="B18" s="553">
        <v>17205</v>
      </c>
      <c r="C18" s="553"/>
      <c r="D18" s="553"/>
      <c r="F18" s="85"/>
      <c r="G18" s="174">
        <f t="shared" ref="G18:G23" si="0">ROUND(B18/$B$24,3)</f>
        <v>0.106</v>
      </c>
    </row>
    <row r="19" spans="1:7" s="18" customFormat="1" ht="13.5" customHeight="1">
      <c r="A19" s="59" t="s">
        <v>16</v>
      </c>
      <c r="B19" s="553">
        <v>25011.9</v>
      </c>
      <c r="C19" s="553"/>
      <c r="D19" s="553"/>
      <c r="F19" s="85"/>
      <c r="G19" s="174">
        <f t="shared" si="0"/>
        <v>0.155</v>
      </c>
    </row>
    <row r="20" spans="1:7" s="18" customFormat="1" ht="13.5" customHeight="1">
      <c r="A20" s="59" t="s">
        <v>255</v>
      </c>
      <c r="B20" s="553">
        <v>70934.600000000006</v>
      </c>
      <c r="C20" s="553"/>
      <c r="D20" s="553"/>
      <c r="F20" s="85"/>
      <c r="G20" s="174">
        <f t="shared" si="0"/>
        <v>0.439</v>
      </c>
    </row>
    <row r="21" spans="1:7" s="18" customFormat="1" ht="13.5" customHeight="1">
      <c r="A21" s="59" t="s">
        <v>256</v>
      </c>
      <c r="B21" s="553">
        <v>23783.5</v>
      </c>
      <c r="C21" s="553"/>
      <c r="D21" s="553"/>
      <c r="F21" s="85"/>
      <c r="G21" s="174">
        <f t="shared" si="0"/>
        <v>0.14699999999999999</v>
      </c>
    </row>
    <row r="22" spans="1:7" s="18" customFormat="1" ht="13.5" customHeight="1">
      <c r="A22" s="59" t="s">
        <v>257</v>
      </c>
      <c r="B22" s="553">
        <v>19279.599999999999</v>
      </c>
      <c r="C22" s="553"/>
      <c r="D22" s="553"/>
      <c r="F22" s="85"/>
      <c r="G22" s="174">
        <f t="shared" si="0"/>
        <v>0.11899999999999999</v>
      </c>
    </row>
    <row r="23" spans="1:7" s="18" customFormat="1" ht="13.5" customHeight="1">
      <c r="A23" s="59" t="s">
        <v>990</v>
      </c>
      <c r="B23" s="553">
        <v>5465.5</v>
      </c>
      <c r="C23" s="553"/>
      <c r="D23" s="553"/>
      <c r="F23" s="85"/>
      <c r="G23" s="174">
        <f t="shared" si="0"/>
        <v>3.4000000000000002E-2</v>
      </c>
    </row>
    <row r="24" spans="1:7" s="18" customFormat="1" ht="13.5" customHeight="1" thickBot="1">
      <c r="A24" s="218" t="s">
        <v>580</v>
      </c>
      <c r="B24" s="556">
        <f>SUM(B18:C23)</f>
        <v>161680.1</v>
      </c>
      <c r="C24" s="556"/>
      <c r="D24" s="556"/>
      <c r="F24" s="434"/>
      <c r="G24" s="274">
        <f>SUM(G18:G23)</f>
        <v>1</v>
      </c>
    </row>
    <row r="25" spans="1:7" s="18" customFormat="1" ht="27.75" customHeight="1" thickTop="1">
      <c r="A25" s="554" t="s">
        <v>594</v>
      </c>
      <c r="B25" s="554"/>
      <c r="C25" s="554"/>
      <c r="D25" s="554"/>
      <c r="E25" s="554"/>
      <c r="F25" s="555"/>
      <c r="G25" s="555"/>
    </row>
    <row r="26" spans="1:7" s="18" customFormat="1" ht="13.5" customHeight="1">
      <c r="A26" s="125" t="s">
        <v>39</v>
      </c>
      <c r="B26" s="488" t="s">
        <v>656</v>
      </c>
      <c r="C26" s="488"/>
      <c r="D26" s="488"/>
      <c r="E26" s="488"/>
      <c r="F26" s="488"/>
      <c r="G26" s="488"/>
    </row>
    <row r="27" spans="1:7" s="18" customFormat="1" ht="13.5" customHeight="1">
      <c r="A27" s="212" t="s">
        <v>39</v>
      </c>
      <c r="B27" s="24">
        <v>2005</v>
      </c>
      <c r="C27" s="448">
        <v>2006</v>
      </c>
      <c r="D27" s="448">
        <v>2007</v>
      </c>
      <c r="E27" s="448">
        <v>2008</v>
      </c>
      <c r="F27" s="448">
        <v>2009</v>
      </c>
      <c r="G27" s="448">
        <v>2010</v>
      </c>
    </row>
    <row r="28" spans="1:7" s="18" customFormat="1" ht="13.5" customHeight="1">
      <c r="A28" s="212" t="s">
        <v>39</v>
      </c>
      <c r="B28" s="488" t="s">
        <v>43</v>
      </c>
      <c r="C28" s="488"/>
      <c r="D28" s="488"/>
      <c r="E28" s="488"/>
      <c r="F28" s="488"/>
      <c r="G28" s="488"/>
    </row>
    <row r="29" spans="1:7" s="18" customFormat="1" ht="10.199999999999999">
      <c r="A29" s="275" t="s">
        <v>619</v>
      </c>
      <c r="B29" s="276">
        <v>699.7</v>
      </c>
      <c r="C29" s="276">
        <v>717.8</v>
      </c>
      <c r="D29" s="276">
        <v>706.7</v>
      </c>
      <c r="E29" s="276">
        <v>714.3</v>
      </c>
      <c r="F29" s="276">
        <v>589.70000000000005</v>
      </c>
      <c r="G29" s="276">
        <v>661.2</v>
      </c>
    </row>
    <row r="30" spans="1:7">
      <c r="A30" s="277" t="s">
        <v>17</v>
      </c>
      <c r="B30" s="97">
        <v>646.9</v>
      </c>
      <c r="C30" s="97">
        <v>660.9</v>
      </c>
      <c r="D30" s="97">
        <v>654.79999999999995</v>
      </c>
      <c r="E30" s="97">
        <v>669.2</v>
      </c>
      <c r="F30" s="97">
        <v>552.4</v>
      </c>
      <c r="G30" s="97">
        <v>614.1</v>
      </c>
    </row>
    <row r="31" spans="1:7">
      <c r="A31" s="278" t="s">
        <v>18</v>
      </c>
      <c r="B31" s="97">
        <v>54.6</v>
      </c>
      <c r="C31" s="97">
        <v>57</v>
      </c>
      <c r="D31" s="97">
        <v>59.9</v>
      </c>
      <c r="E31" s="97">
        <v>61.4</v>
      </c>
      <c r="F31" s="97">
        <v>35.700000000000003</v>
      </c>
      <c r="G31" s="97">
        <v>35.299999999999997</v>
      </c>
    </row>
    <row r="32" spans="1:7">
      <c r="A32" s="278" t="s">
        <v>311</v>
      </c>
      <c r="B32" s="97">
        <v>0</v>
      </c>
      <c r="C32" s="97">
        <v>0</v>
      </c>
      <c r="D32" s="97">
        <v>0</v>
      </c>
      <c r="E32" s="97">
        <v>0</v>
      </c>
      <c r="F32" s="97">
        <v>0</v>
      </c>
      <c r="G32" s="97">
        <v>0.8</v>
      </c>
    </row>
    <row r="33" spans="1:7">
      <c r="A33" s="277" t="s">
        <v>19</v>
      </c>
      <c r="B33" s="97">
        <v>42.8</v>
      </c>
      <c r="C33" s="97">
        <v>48.2</v>
      </c>
      <c r="D33" s="97">
        <v>41.7</v>
      </c>
      <c r="E33" s="97">
        <v>36.1</v>
      </c>
      <c r="F33" s="97">
        <v>30</v>
      </c>
      <c r="G33" s="97">
        <v>40.799999999999997</v>
      </c>
    </row>
    <row r="34" spans="1:7" ht="13.8" thickBot="1">
      <c r="A34" s="279" t="s">
        <v>620</v>
      </c>
      <c r="B34" s="194">
        <v>10</v>
      </c>
      <c r="C34" s="194">
        <v>8.6999999999999993</v>
      </c>
      <c r="D34" s="194">
        <v>10.199999999999999</v>
      </c>
      <c r="E34" s="194">
        <v>9</v>
      </c>
      <c r="F34" s="194">
        <v>7.3</v>
      </c>
      <c r="G34" s="194">
        <v>6.3</v>
      </c>
    </row>
    <row r="35" spans="1:7" ht="13.8" thickTop="1">
      <c r="A35" s="275" t="s">
        <v>621</v>
      </c>
      <c r="B35" s="276">
        <v>699.7</v>
      </c>
      <c r="C35" s="276">
        <v>717.8</v>
      </c>
      <c r="D35" s="276">
        <v>706.7</v>
      </c>
      <c r="E35" s="276">
        <v>714.3</v>
      </c>
      <c r="F35" s="276">
        <v>589.70000000000005</v>
      </c>
      <c r="G35" s="276">
        <v>661.2</v>
      </c>
    </row>
    <row r="36" spans="1:7">
      <c r="A36" s="277" t="s">
        <v>622</v>
      </c>
      <c r="B36" s="97">
        <v>339.8</v>
      </c>
      <c r="C36" s="97">
        <v>352</v>
      </c>
      <c r="D36" s="97">
        <v>356.4</v>
      </c>
      <c r="E36" s="97">
        <v>352.8</v>
      </c>
      <c r="F36" s="97">
        <v>335.6</v>
      </c>
      <c r="G36" s="97">
        <v>354.9</v>
      </c>
    </row>
    <row r="37" spans="1:7">
      <c r="A37" s="278" t="s">
        <v>18</v>
      </c>
      <c r="B37" s="97">
        <v>0.1</v>
      </c>
      <c r="C37" s="97">
        <v>0.1</v>
      </c>
      <c r="D37" s="97">
        <v>0.1</v>
      </c>
      <c r="E37" s="97">
        <v>0.1</v>
      </c>
      <c r="F37" s="97">
        <v>0.1</v>
      </c>
      <c r="G37" s="97">
        <v>0.1</v>
      </c>
    </row>
    <row r="38" spans="1:7">
      <c r="A38" s="277" t="s">
        <v>20</v>
      </c>
      <c r="B38" s="97">
        <v>251.2</v>
      </c>
      <c r="C38" s="97">
        <v>254.7</v>
      </c>
      <c r="D38" s="97">
        <v>247.3</v>
      </c>
      <c r="E38" s="97">
        <v>251.1</v>
      </c>
      <c r="F38" s="97">
        <v>195.6</v>
      </c>
      <c r="G38" s="97">
        <v>209.3</v>
      </c>
    </row>
    <row r="39" spans="1:7">
      <c r="A39" s="278" t="s">
        <v>18</v>
      </c>
      <c r="B39" s="97">
        <v>54.5</v>
      </c>
      <c r="C39" s="97">
        <v>56.8</v>
      </c>
      <c r="D39" s="97">
        <v>59.7</v>
      </c>
      <c r="E39" s="97">
        <v>61.3</v>
      </c>
      <c r="F39" s="97">
        <v>35.6</v>
      </c>
      <c r="G39" s="97">
        <v>35.200000000000003</v>
      </c>
    </row>
    <row r="40" spans="1:7">
      <c r="A40" s="278" t="s">
        <v>310</v>
      </c>
      <c r="B40" s="97">
        <v>0</v>
      </c>
      <c r="C40" s="97">
        <v>0</v>
      </c>
      <c r="D40" s="97">
        <v>0</v>
      </c>
      <c r="E40" s="97">
        <v>0</v>
      </c>
      <c r="F40" s="97">
        <v>0</v>
      </c>
      <c r="G40" s="97">
        <v>0.8</v>
      </c>
    </row>
    <row r="41" spans="1:7">
      <c r="A41" s="277" t="s">
        <v>21</v>
      </c>
      <c r="B41" s="97">
        <v>46.3</v>
      </c>
      <c r="C41" s="97">
        <v>50.3</v>
      </c>
      <c r="D41" s="97">
        <v>43</v>
      </c>
      <c r="E41" s="97">
        <v>51.6</v>
      </c>
      <c r="F41" s="97">
        <v>15.7</v>
      </c>
      <c r="G41" s="97">
        <v>47.7</v>
      </c>
    </row>
    <row r="42" spans="1:7" ht="22.2" customHeight="1">
      <c r="A42" s="277" t="s">
        <v>623</v>
      </c>
      <c r="B42" s="97">
        <v>51.7</v>
      </c>
      <c r="C42" s="97">
        <v>52</v>
      </c>
      <c r="D42" s="97">
        <v>49.5</v>
      </c>
      <c r="E42" s="97">
        <v>49.6</v>
      </c>
      <c r="F42" s="97">
        <v>36.299999999999997</v>
      </c>
      <c r="G42" s="97">
        <v>43.6</v>
      </c>
    </row>
    <row r="43" spans="1:7" ht="13.8" thickBot="1">
      <c r="A43" s="279" t="s">
        <v>1008</v>
      </c>
      <c r="B43" s="194">
        <v>10.7</v>
      </c>
      <c r="C43" s="194">
        <v>8.8000000000000007</v>
      </c>
      <c r="D43" s="194">
        <v>10.5</v>
      </c>
      <c r="E43" s="194">
        <v>9.1999999999999993</v>
      </c>
      <c r="F43" s="194">
        <v>6.5</v>
      </c>
      <c r="G43" s="194">
        <v>5.7</v>
      </c>
    </row>
    <row r="44" spans="1:7" ht="13.8" thickTop="1">
      <c r="A44" s="29"/>
      <c r="B44" s="29"/>
      <c r="C44" s="29"/>
      <c r="D44" s="29"/>
      <c r="E44" s="29"/>
      <c r="F44" s="29"/>
      <c r="G44" s="29"/>
    </row>
    <row r="45" spans="1:7">
      <c r="A45" s="487" t="s">
        <v>776</v>
      </c>
      <c r="B45" s="487"/>
      <c r="C45" s="487"/>
      <c r="D45" s="487"/>
      <c r="E45" s="487"/>
      <c r="F45" s="487"/>
      <c r="G45" s="22"/>
    </row>
  </sheetData>
  <sheetProtection password="CAF1" sheet="1" formatCells="0" formatColumns="0" formatRows="0" insertColumns="0" insertRows="0" insertHyperlinks="0" deleteColumns="0" deleteRows="0" sort="0" autoFilter="0" pivotTables="0"/>
  <mergeCells count="18">
    <mergeCell ref="B16:G16"/>
    <mergeCell ref="C17:D17"/>
    <mergeCell ref="B18:D18"/>
    <mergeCell ref="A2:G2"/>
    <mergeCell ref="B3:G3"/>
    <mergeCell ref="B9:G9"/>
    <mergeCell ref="A15:G15"/>
    <mergeCell ref="A8:G8"/>
    <mergeCell ref="B19:D19"/>
    <mergeCell ref="A45:F45"/>
    <mergeCell ref="A25:G25"/>
    <mergeCell ref="B26:G26"/>
    <mergeCell ref="B24:D24"/>
    <mergeCell ref="B28:G28"/>
    <mergeCell ref="B20:D20"/>
    <mergeCell ref="B21:D21"/>
    <mergeCell ref="B22:D22"/>
    <mergeCell ref="B23:D23"/>
  </mergeCells>
  <phoneticPr fontId="8" type="noConversion"/>
  <hyperlinks>
    <hyperlink ref="A45:F45" location="Титул!A1" display="Вернуться к Содержанию"/>
  </hyperlinks>
  <pageMargins left="0.25" right="0.25" top="0.75" bottom="0.75" header="0.3" footer="0.3"/>
  <pageSetup paperSize="9" firstPageNumber="30" orientation="portrait" useFirstPageNumber="1" r:id="rId1"/>
  <headerFooter alignWithMargins="0">
    <oddHeader>&amp;L&amp;"Times New Roman,полужирный"Газпром в цифрах 2006-2010 гг.&amp;R&amp;"Times New Roman,полужирный"Справочник</oddHeader>
    <oddFooter>&amp;C&amp;P</oddFooter>
  </headerFooter>
</worksheet>
</file>

<file path=xl/worksheets/sheet2.xml><?xml version="1.0" encoding="utf-8"?>
<worksheet xmlns="http://schemas.openxmlformats.org/spreadsheetml/2006/main" xmlns:r="http://schemas.openxmlformats.org/officeDocument/2006/relationships">
  <sheetPr codeName="Лист2"/>
  <dimension ref="A1:A24"/>
  <sheetViews>
    <sheetView zoomScaleNormal="100" zoomScaleSheetLayoutView="100" workbookViewId="0"/>
  </sheetViews>
  <sheetFormatPr defaultColWidth="0" defaultRowHeight="13.2" zeroHeight="1"/>
  <cols>
    <col min="1" max="1" width="101" style="2" customWidth="1"/>
    <col min="2" max="16384" width="0" style="2" hidden="1"/>
  </cols>
  <sheetData>
    <row r="1" spans="1:1" ht="15.6">
      <c r="A1" s="130" t="s">
        <v>484</v>
      </c>
    </row>
    <row r="2" spans="1:1" ht="56.25" customHeight="1">
      <c r="A2" s="197" t="s">
        <v>94</v>
      </c>
    </row>
    <row r="3" spans="1:1" ht="75" customHeight="1">
      <c r="A3" s="132" t="s">
        <v>1066</v>
      </c>
    </row>
    <row r="4" spans="1:1" ht="74.25" customHeight="1">
      <c r="A4" s="132" t="s">
        <v>1063</v>
      </c>
    </row>
    <row r="5" spans="1:1" ht="52.95" customHeight="1">
      <c r="A5" s="132" t="s">
        <v>1064</v>
      </c>
    </row>
    <row r="6" spans="1:1" ht="63" customHeight="1">
      <c r="A6" s="132" t="s">
        <v>1065</v>
      </c>
    </row>
    <row r="7" spans="1:1">
      <c r="A7" s="198"/>
    </row>
    <row r="8" spans="1:1">
      <c r="A8" s="20" t="s">
        <v>776</v>
      </c>
    </row>
    <row r="9" spans="1:1" hidden="1"/>
    <row r="10" spans="1:1" hidden="1"/>
    <row r="11" spans="1:1" hidden="1"/>
    <row r="12" spans="1:1" hidden="1"/>
    <row r="13" spans="1:1" hidden="1"/>
    <row r="14" spans="1:1" hidden="1"/>
    <row r="15" spans="1:1" hidden="1"/>
    <row r="16" spans="1:1" hidden="1"/>
    <row r="17" hidden="1"/>
    <row r="18" hidden="1"/>
    <row r="19" hidden="1"/>
    <row r="20" hidden="1"/>
    <row r="21" hidden="1"/>
    <row r="22" hidden="1"/>
    <row r="23" hidden="1"/>
    <row r="24" ht="12.75" hidden="1" customHeight="1"/>
  </sheetData>
  <sheetProtection password="CAF1" sheet="1" formatCells="0" formatColumns="0" formatRows="0" insertColumns="0" insertRows="0" insertHyperlinks="0" deleteColumns="0" deleteRows="0" sort="0" autoFilter="0" pivotTables="0"/>
  <phoneticPr fontId="8" type="noConversion"/>
  <hyperlinks>
    <hyperlink ref="A8" location="Титул!A1" display="Вернуться к Содержанию"/>
  </hyperlinks>
  <pageMargins left="0.25" right="0.25" top="0.75" bottom="0.75" header="0.3" footer="0.3"/>
  <pageSetup paperSize="9" firstPageNumber="2" orientation="portrait" useFirstPageNumber="1" r:id="rId1"/>
  <headerFooter alignWithMargins="0">
    <oddHeader>&amp;L&amp;"Times New Roman,полужирный"Газпром в цифрах 2006-2010 гг.&amp;R&amp;"Times New Roman,полужирный"Справочник</oddHeader>
    <oddFooter>&amp;C&amp;P</oddFooter>
  </headerFooter>
</worksheet>
</file>

<file path=xl/worksheets/sheet20.xml><?xml version="1.0" encoding="utf-8"?>
<worksheet xmlns="http://schemas.openxmlformats.org/spreadsheetml/2006/main" xmlns:r="http://schemas.openxmlformats.org/officeDocument/2006/relationships">
  <sheetPr codeName="Лист20" enableFormatConditionsCalculation="0"/>
  <dimension ref="A1:F37"/>
  <sheetViews>
    <sheetView zoomScaleNormal="100" zoomScaleSheetLayoutView="100" workbookViewId="0"/>
  </sheetViews>
  <sheetFormatPr defaultColWidth="0" defaultRowHeight="13.2" zeroHeight="1"/>
  <cols>
    <col min="1" max="1" width="11.33203125" style="2" customWidth="1"/>
    <col min="2" max="2" width="16.6640625" style="2" customWidth="1"/>
    <col min="3" max="3" width="12.88671875" style="2" customWidth="1"/>
    <col min="4" max="4" width="10.6640625" style="2" customWidth="1"/>
    <col min="5" max="5" width="17" style="2" customWidth="1"/>
    <col min="6" max="6" width="32.109375" style="2" customWidth="1"/>
    <col min="7" max="16384" width="0" style="2" hidden="1"/>
  </cols>
  <sheetData>
    <row r="1" spans="1:6" ht="15.6">
      <c r="A1" s="51" t="s">
        <v>922</v>
      </c>
      <c r="B1" s="28"/>
      <c r="C1" s="28"/>
      <c r="D1" s="28"/>
      <c r="E1" s="28"/>
      <c r="F1" s="28"/>
    </row>
    <row r="2" spans="1:6">
      <c r="A2" s="226" t="s">
        <v>762</v>
      </c>
      <c r="B2" s="28"/>
      <c r="C2" s="28"/>
      <c r="D2" s="28"/>
      <c r="E2" s="28"/>
      <c r="F2" s="28"/>
    </row>
    <row r="3" spans="1:6" ht="40.5" customHeight="1">
      <c r="A3" s="28"/>
      <c r="B3" s="28"/>
      <c r="C3" s="28"/>
      <c r="D3" s="28"/>
      <c r="E3" s="28"/>
      <c r="F3" s="28"/>
    </row>
    <row r="4" spans="1:6" ht="33" customHeight="1">
      <c r="A4" s="28"/>
      <c r="B4" s="28"/>
      <c r="C4" s="28"/>
      <c r="D4" s="28"/>
      <c r="E4" s="28"/>
      <c r="F4" s="28"/>
    </row>
    <row r="5" spans="1:6" ht="33" customHeight="1">
      <c r="A5" s="28"/>
      <c r="B5" s="28"/>
      <c r="C5" s="28"/>
      <c r="D5" s="28"/>
      <c r="E5" s="28"/>
      <c r="F5" s="28"/>
    </row>
    <row r="6" spans="1:6" ht="33" customHeight="1">
      <c r="A6" s="28"/>
      <c r="B6" s="28"/>
      <c r="C6" s="28"/>
      <c r="D6" s="28"/>
      <c r="E6" s="28"/>
      <c r="F6" s="28"/>
    </row>
    <row r="7" spans="1:6" ht="39" customHeight="1">
      <c r="A7" s="28"/>
      <c r="B7" s="28"/>
      <c r="C7" s="28"/>
      <c r="D7" s="28"/>
      <c r="E7" s="28"/>
      <c r="F7" s="28"/>
    </row>
    <row r="8" spans="1:6" ht="39" customHeight="1">
      <c r="A8" s="28"/>
      <c r="B8" s="28"/>
      <c r="C8" s="28"/>
      <c r="D8" s="28"/>
      <c r="E8" s="28"/>
      <c r="F8" s="28"/>
    </row>
    <row r="9" spans="1:6" ht="39" customHeight="1">
      <c r="A9" s="28"/>
      <c r="B9" s="28"/>
      <c r="C9" s="28"/>
      <c r="D9" s="28"/>
      <c r="E9" s="28"/>
      <c r="F9" s="28"/>
    </row>
    <row r="10" spans="1:6" ht="39" customHeight="1">
      <c r="A10" s="28"/>
      <c r="B10" s="28"/>
      <c r="C10" s="28"/>
      <c r="D10" s="28"/>
      <c r="E10" s="28"/>
      <c r="F10" s="28"/>
    </row>
    <row r="11" spans="1:6" ht="39" customHeight="1">
      <c r="A11" s="28"/>
      <c r="B11" s="28"/>
      <c r="C11" s="28"/>
      <c r="D11" s="28"/>
      <c r="E11" s="28"/>
      <c r="F11" s="28"/>
    </row>
    <row r="12" spans="1:6" ht="39" customHeight="1">
      <c r="A12" s="28"/>
      <c r="B12" s="28"/>
      <c r="C12" s="28"/>
      <c r="D12" s="28"/>
      <c r="E12" s="28"/>
      <c r="F12" s="28"/>
    </row>
    <row r="13" spans="1:6" ht="39" customHeight="1">
      <c r="A13" s="28"/>
      <c r="B13" s="28"/>
      <c r="C13" s="28"/>
      <c r="D13" s="28"/>
      <c r="E13" s="28"/>
      <c r="F13" s="28"/>
    </row>
    <row r="14" spans="1:6" ht="39" customHeight="1">
      <c r="A14" s="28"/>
      <c r="B14" s="28"/>
      <c r="C14" s="28"/>
      <c r="D14" s="28"/>
      <c r="E14" s="28"/>
      <c r="F14" s="28"/>
    </row>
    <row r="15" spans="1:6" ht="13.5" customHeight="1">
      <c r="A15" s="226" t="s">
        <v>763</v>
      </c>
      <c r="B15" s="28"/>
      <c r="C15" s="28"/>
      <c r="D15" s="28"/>
      <c r="E15" s="28"/>
      <c r="F15" s="28"/>
    </row>
    <row r="16" spans="1:6">
      <c r="A16" s="25" t="s">
        <v>764</v>
      </c>
      <c r="B16" s="25" t="s">
        <v>765</v>
      </c>
      <c r="C16" s="511" t="s">
        <v>766</v>
      </c>
      <c r="D16" s="511"/>
      <c r="E16" s="511"/>
      <c r="F16" s="25" t="s">
        <v>607</v>
      </c>
    </row>
    <row r="17" spans="1:6" ht="33.6" customHeight="1">
      <c r="A17" s="25"/>
      <c r="B17" s="25"/>
      <c r="C17" s="25" t="s">
        <v>767</v>
      </c>
      <c r="D17" s="25" t="s">
        <v>768</v>
      </c>
      <c r="E17" s="25" t="s">
        <v>984</v>
      </c>
      <c r="F17" s="25"/>
    </row>
    <row r="18" spans="1:6" ht="20.399999999999999">
      <c r="A18" s="567" t="s">
        <v>328</v>
      </c>
      <c r="B18" s="567" t="s">
        <v>1055</v>
      </c>
      <c r="C18" s="566" t="s">
        <v>769</v>
      </c>
      <c r="D18" s="566" t="s">
        <v>770</v>
      </c>
      <c r="E18" s="566" t="s">
        <v>771</v>
      </c>
      <c r="F18" s="36" t="s">
        <v>772</v>
      </c>
    </row>
    <row r="19" spans="1:6" ht="30.6">
      <c r="A19" s="567"/>
      <c r="B19" s="567"/>
      <c r="C19" s="566"/>
      <c r="D19" s="566"/>
      <c r="E19" s="566"/>
      <c r="F19" s="36" t="s">
        <v>872</v>
      </c>
    </row>
    <row r="20" spans="1:6" ht="93" customHeight="1" thickBot="1">
      <c r="A20" s="542"/>
      <c r="B20" s="542"/>
      <c r="C20" s="545"/>
      <c r="D20" s="545"/>
      <c r="E20" s="545"/>
      <c r="F20" s="240" t="s">
        <v>1060</v>
      </c>
    </row>
    <row r="21" spans="1:6" ht="60" customHeight="1" thickBot="1">
      <c r="A21" s="280" t="s">
        <v>327</v>
      </c>
      <c r="B21" s="280" t="s">
        <v>773</v>
      </c>
      <c r="C21" s="281" t="s">
        <v>873</v>
      </c>
      <c r="D21" s="281" t="s">
        <v>434</v>
      </c>
      <c r="E21" s="281" t="s">
        <v>874</v>
      </c>
      <c r="F21" s="280" t="s">
        <v>435</v>
      </c>
    </row>
    <row r="22" spans="1:6" ht="206.25" customHeight="1" thickBot="1">
      <c r="A22" s="240" t="s">
        <v>774</v>
      </c>
      <c r="B22" s="240" t="s">
        <v>775</v>
      </c>
      <c r="C22" s="241" t="s">
        <v>6</v>
      </c>
      <c r="D22" s="241" t="s">
        <v>7</v>
      </c>
      <c r="E22" s="241" t="s">
        <v>84</v>
      </c>
      <c r="F22" s="36" t="s">
        <v>976</v>
      </c>
    </row>
    <row r="23" spans="1:6" ht="82.2" thickBot="1">
      <c r="A23" s="280" t="s">
        <v>357</v>
      </c>
      <c r="B23" s="280" t="s">
        <v>358</v>
      </c>
      <c r="C23" s="281" t="s">
        <v>875</v>
      </c>
      <c r="D23" s="281" t="s">
        <v>876</v>
      </c>
      <c r="E23" s="281" t="s">
        <v>85</v>
      </c>
      <c r="F23" s="280" t="s">
        <v>329</v>
      </c>
    </row>
    <row r="24" spans="1:6" ht="81.75" customHeight="1">
      <c r="A24" s="542" t="s">
        <v>359</v>
      </c>
      <c r="B24" s="542" t="s">
        <v>360</v>
      </c>
      <c r="C24" s="545" t="s">
        <v>1108</v>
      </c>
      <c r="D24" s="545" t="s">
        <v>361</v>
      </c>
      <c r="E24" s="564" t="s">
        <v>86</v>
      </c>
      <c r="F24" s="562" t="s">
        <v>330</v>
      </c>
    </row>
    <row r="25" spans="1:6" ht="261.75" customHeight="1" thickBot="1">
      <c r="A25" s="542"/>
      <c r="B25" s="542"/>
      <c r="C25" s="545"/>
      <c r="D25" s="545"/>
      <c r="E25" s="565"/>
      <c r="F25" s="563"/>
    </row>
    <row r="26" spans="1:6" ht="129" customHeight="1" thickBot="1">
      <c r="A26" s="280" t="s">
        <v>362</v>
      </c>
      <c r="B26" s="280" t="s">
        <v>1113</v>
      </c>
      <c r="C26" s="281" t="s">
        <v>363</v>
      </c>
      <c r="D26" s="281" t="s">
        <v>364</v>
      </c>
      <c r="E26" s="281" t="s">
        <v>365</v>
      </c>
      <c r="F26" s="280" t="s">
        <v>971</v>
      </c>
    </row>
    <row r="27" spans="1:6" ht="140.25" customHeight="1" thickBot="1">
      <c r="A27" s="240" t="s">
        <v>366</v>
      </c>
      <c r="B27" s="240" t="s">
        <v>877</v>
      </c>
      <c r="C27" s="241" t="s">
        <v>361</v>
      </c>
      <c r="D27" s="241" t="s">
        <v>361</v>
      </c>
      <c r="E27" s="241" t="s">
        <v>87</v>
      </c>
      <c r="F27" s="240" t="s">
        <v>1109</v>
      </c>
    </row>
    <row r="28" spans="1:6" ht="83.25" customHeight="1" thickBot="1">
      <c r="A28" s="280" t="s">
        <v>972</v>
      </c>
      <c r="B28" s="280" t="s">
        <v>878</v>
      </c>
      <c r="C28" s="281" t="s">
        <v>367</v>
      </c>
      <c r="D28" s="281" t="s">
        <v>368</v>
      </c>
      <c r="E28" s="281" t="s">
        <v>88</v>
      </c>
      <c r="F28" s="280" t="s">
        <v>978</v>
      </c>
    </row>
    <row r="29" spans="1:6" ht="116.25" customHeight="1" thickBot="1">
      <c r="A29" s="240" t="s">
        <v>1061</v>
      </c>
      <c r="B29" s="240" t="s">
        <v>1110</v>
      </c>
      <c r="C29" s="241" t="s">
        <v>879</v>
      </c>
      <c r="D29" s="241" t="s">
        <v>880</v>
      </c>
      <c r="E29" s="241" t="s">
        <v>89</v>
      </c>
      <c r="F29" s="240" t="s">
        <v>1111</v>
      </c>
    </row>
    <row r="30" spans="1:6" ht="34.200000000000003" customHeight="1">
      <c r="A30" s="282" t="s">
        <v>1056</v>
      </c>
      <c r="B30" s="560" t="s">
        <v>979</v>
      </c>
      <c r="C30" s="283" t="s">
        <v>881</v>
      </c>
      <c r="D30" s="283" t="s">
        <v>980</v>
      </c>
      <c r="E30" s="283" t="s">
        <v>981</v>
      </c>
      <c r="F30" s="560" t="s">
        <v>460</v>
      </c>
    </row>
    <row r="31" spans="1:6" ht="129" customHeight="1" thickBot="1">
      <c r="A31" s="242" t="s">
        <v>1057</v>
      </c>
      <c r="B31" s="561"/>
      <c r="C31" s="243" t="s">
        <v>211</v>
      </c>
      <c r="D31" s="243" t="s">
        <v>212</v>
      </c>
      <c r="E31" s="243" t="s">
        <v>213</v>
      </c>
      <c r="F31" s="561"/>
    </row>
    <row r="32" spans="1:6" ht="127.5" customHeight="1" thickBot="1">
      <c r="A32" s="280" t="s">
        <v>1058</v>
      </c>
      <c r="B32" s="280" t="s">
        <v>214</v>
      </c>
      <c r="C32" s="281" t="s">
        <v>1112</v>
      </c>
      <c r="D32" s="281" t="s">
        <v>215</v>
      </c>
      <c r="E32" s="281" t="s">
        <v>461</v>
      </c>
      <c r="F32" s="280" t="s">
        <v>975</v>
      </c>
    </row>
    <row r="33" spans="1:6" ht="80.25" customHeight="1" thickBot="1">
      <c r="A33" s="240" t="s">
        <v>1059</v>
      </c>
      <c r="B33" s="240" t="s">
        <v>974</v>
      </c>
      <c r="C33" s="241" t="s">
        <v>462</v>
      </c>
      <c r="D33" s="241" t="s">
        <v>7</v>
      </c>
      <c r="E33" s="241" t="s">
        <v>216</v>
      </c>
      <c r="F33" s="240" t="s">
        <v>331</v>
      </c>
    </row>
    <row r="34" spans="1:6" ht="80.25" customHeight="1" thickBot="1">
      <c r="A34" s="205" t="s">
        <v>463</v>
      </c>
      <c r="B34" s="205" t="s">
        <v>436</v>
      </c>
      <c r="C34" s="248" t="s">
        <v>464</v>
      </c>
      <c r="D34" s="248" t="s">
        <v>465</v>
      </c>
      <c r="E34" s="248" t="s">
        <v>90</v>
      </c>
      <c r="F34" s="205" t="s">
        <v>466</v>
      </c>
    </row>
    <row r="35" spans="1:6" ht="129" customHeight="1" thickBot="1">
      <c r="A35" s="284" t="s">
        <v>467</v>
      </c>
      <c r="B35" s="284" t="s">
        <v>405</v>
      </c>
      <c r="C35" s="285" t="s">
        <v>437</v>
      </c>
      <c r="D35" s="285"/>
      <c r="E35" s="285" t="s">
        <v>91</v>
      </c>
      <c r="F35" s="284" t="s">
        <v>973</v>
      </c>
    </row>
    <row r="36" spans="1:6" ht="13.8" thickTop="1">
      <c r="A36" s="28"/>
      <c r="B36" s="28"/>
      <c r="C36" s="28"/>
      <c r="D36" s="28"/>
      <c r="E36" s="28"/>
      <c r="F36" s="28"/>
    </row>
    <row r="37" spans="1:6">
      <c r="A37" s="487" t="s">
        <v>776</v>
      </c>
      <c r="B37" s="487"/>
      <c r="C37" s="487"/>
      <c r="D37" s="487"/>
      <c r="E37" s="487"/>
      <c r="F37" s="487"/>
    </row>
  </sheetData>
  <sheetProtection password="CAF1" sheet="1" formatCells="0" formatColumns="0" formatRows="0" insertColumns="0" insertRows="0" insertHyperlinks="0" deleteColumns="0" deleteRows="0" sort="0" autoFilter="0" pivotTables="0"/>
  <mergeCells count="15">
    <mergeCell ref="C16:E16"/>
    <mergeCell ref="E18:E20"/>
    <mergeCell ref="A18:A20"/>
    <mergeCell ref="B18:B20"/>
    <mergeCell ref="C18:C20"/>
    <mergeCell ref="D18:D20"/>
    <mergeCell ref="C24:C25"/>
    <mergeCell ref="D24:D25"/>
    <mergeCell ref="A37:F37"/>
    <mergeCell ref="B30:B31"/>
    <mergeCell ref="F30:F31"/>
    <mergeCell ref="A24:A25"/>
    <mergeCell ref="B24:B25"/>
    <mergeCell ref="F24:F25"/>
    <mergeCell ref="E24:E25"/>
  </mergeCells>
  <phoneticPr fontId="27" type="noConversion"/>
  <hyperlinks>
    <hyperlink ref="A37:F37" location="Титул!A1" display="Вернуться к Содержанию"/>
  </hyperlinks>
  <printOptions horizontalCentered="1"/>
  <pageMargins left="0.25" right="0.25" top="0.75" bottom="0.75" header="0.3" footer="0.3"/>
  <pageSetup paperSize="9" firstPageNumber="31" orientation="portrait" useFirstPageNumber="1" r:id="rId1"/>
  <headerFooter alignWithMargins="0">
    <oddHeader>&amp;L&amp;"Times New Roman,полужирный"Газпром в цифрах 2006-2010 гг.&amp;R&amp;"Times New Roman,полужирный"Справочник</oddHeader>
    <oddFooter>&amp;C&amp;P</oddFooter>
  </headerFooter>
  <drawing r:id="rId2"/>
</worksheet>
</file>

<file path=xl/worksheets/sheet21.xml><?xml version="1.0" encoding="utf-8"?>
<worksheet xmlns="http://schemas.openxmlformats.org/spreadsheetml/2006/main" xmlns:r="http://schemas.openxmlformats.org/officeDocument/2006/relationships">
  <sheetPr codeName="Лист21"/>
  <dimension ref="A1:W86"/>
  <sheetViews>
    <sheetView zoomScaleNormal="100" zoomScaleSheetLayoutView="100" workbookViewId="0"/>
  </sheetViews>
  <sheetFormatPr defaultColWidth="0" defaultRowHeight="13.2" zeroHeight="1" outlineLevelCol="1"/>
  <cols>
    <col min="1" max="1" width="57.33203125" style="4" customWidth="1"/>
    <col min="2" max="2" width="8.5546875" style="4" hidden="1" customWidth="1" outlineLevel="1"/>
    <col min="3" max="3" width="9.33203125" style="4" customWidth="1" collapsed="1"/>
    <col min="4" max="7" width="8.5546875" style="4" customWidth="1"/>
    <col min="8" max="16384" width="0" style="4" hidden="1"/>
  </cols>
  <sheetData>
    <row r="1" spans="1:7" ht="15.6">
      <c r="A1" s="51" t="s">
        <v>341</v>
      </c>
      <c r="B1" s="28"/>
      <c r="C1" s="28"/>
      <c r="D1" s="28"/>
      <c r="E1" s="28"/>
      <c r="F1" s="28"/>
      <c r="G1" s="28"/>
    </row>
    <row r="2" spans="1:7" ht="33" customHeight="1">
      <c r="A2" s="568" t="s">
        <v>1009</v>
      </c>
      <c r="B2" s="568"/>
      <c r="C2" s="568"/>
      <c r="D2" s="568"/>
      <c r="E2" s="568"/>
      <c r="F2" s="568"/>
      <c r="G2" s="286"/>
    </row>
    <row r="3" spans="1:7" ht="22.5" customHeight="1">
      <c r="A3" s="227"/>
      <c r="B3" s="28"/>
      <c r="C3" s="28"/>
      <c r="D3" s="28"/>
      <c r="E3" s="28"/>
      <c r="F3" s="28"/>
      <c r="G3" s="28"/>
    </row>
    <row r="4" spans="1:7" ht="22.5" customHeight="1">
      <c r="A4" s="227"/>
      <c r="B4" s="28"/>
      <c r="C4" s="28"/>
      <c r="D4" s="28"/>
      <c r="E4" s="28"/>
      <c r="F4" s="28"/>
      <c r="G4" s="28"/>
    </row>
    <row r="5" spans="1:7" ht="22.5" customHeight="1">
      <c r="A5" s="227"/>
      <c r="B5" s="28"/>
      <c r="C5" s="28"/>
      <c r="D5" s="28"/>
      <c r="E5" s="28"/>
      <c r="F5" s="28"/>
      <c r="G5" s="28"/>
    </row>
    <row r="6" spans="1:7" ht="22.5" customHeight="1">
      <c r="A6" s="227"/>
      <c r="B6" s="28"/>
      <c r="C6" s="28"/>
      <c r="D6" s="28"/>
      <c r="E6" s="28"/>
      <c r="F6" s="28"/>
      <c r="G6" s="28"/>
    </row>
    <row r="7" spans="1:7" ht="22.5" customHeight="1">
      <c r="A7" s="227"/>
      <c r="B7" s="28"/>
      <c r="C7" s="28"/>
      <c r="D7" s="28"/>
      <c r="E7" s="28"/>
      <c r="F7" s="28"/>
      <c r="G7" s="28"/>
    </row>
    <row r="8" spans="1:7" ht="22.5" customHeight="1">
      <c r="A8" s="227"/>
      <c r="B8" s="28"/>
      <c r="C8" s="28"/>
      <c r="D8" s="28"/>
      <c r="E8" s="28"/>
      <c r="F8" s="28"/>
      <c r="G8" s="28"/>
    </row>
    <row r="9" spans="1:7" ht="22.5" customHeight="1">
      <c r="A9" s="227"/>
      <c r="B9" s="28"/>
      <c r="C9" s="28"/>
      <c r="D9" s="28"/>
      <c r="E9" s="28"/>
      <c r="F9" s="28"/>
      <c r="G9" s="28"/>
    </row>
    <row r="10" spans="1:7" ht="22.5" customHeight="1">
      <c r="A10" s="227"/>
      <c r="B10" s="28"/>
      <c r="C10" s="28"/>
      <c r="D10" s="28"/>
      <c r="E10" s="28"/>
      <c r="F10" s="28"/>
      <c r="G10" s="28"/>
    </row>
    <row r="11" spans="1:7" ht="22.5" customHeight="1">
      <c r="A11" s="227"/>
      <c r="B11" s="28"/>
      <c r="C11" s="28"/>
      <c r="D11" s="28"/>
      <c r="E11" s="28"/>
      <c r="F11" s="28"/>
      <c r="G11" s="28"/>
    </row>
    <row r="12" spans="1:7" ht="22.5" customHeight="1">
      <c r="A12" s="227"/>
      <c r="B12" s="28"/>
      <c r="C12" s="28"/>
      <c r="D12" s="28"/>
      <c r="E12" s="28"/>
      <c r="F12" s="28"/>
      <c r="G12" s="28"/>
    </row>
    <row r="13" spans="1:7" ht="22.5" customHeight="1">
      <c r="A13" s="227"/>
      <c r="B13" s="28"/>
      <c r="C13" s="28"/>
      <c r="D13" s="28"/>
      <c r="E13" s="28"/>
      <c r="F13" s="28"/>
      <c r="G13" s="28"/>
    </row>
    <row r="14" spans="1:7" ht="30.75" customHeight="1">
      <c r="A14" s="227"/>
      <c r="B14" s="28"/>
      <c r="C14" s="28"/>
      <c r="D14" s="28"/>
      <c r="E14" s="28"/>
      <c r="F14" s="28"/>
      <c r="G14" s="28"/>
    </row>
    <row r="15" spans="1:7" ht="24" customHeight="1">
      <c r="A15" s="227"/>
      <c r="B15" s="28"/>
      <c r="C15" s="28"/>
      <c r="D15" s="28"/>
      <c r="E15" s="28"/>
      <c r="F15" s="28"/>
      <c r="G15" s="28"/>
    </row>
    <row r="16" spans="1:7" ht="12.75" customHeight="1">
      <c r="A16" s="227"/>
      <c r="B16" s="28"/>
      <c r="C16" s="28"/>
      <c r="D16" s="28"/>
      <c r="E16" s="28"/>
      <c r="F16" s="28"/>
      <c r="G16" s="28"/>
    </row>
    <row r="17" spans="1:23" ht="15.75" customHeight="1">
      <c r="A17" s="226" t="s">
        <v>22</v>
      </c>
      <c r="B17" s="28"/>
      <c r="C17" s="28"/>
      <c r="D17" s="28"/>
      <c r="E17" s="28"/>
      <c r="F17" s="28"/>
      <c r="G17" s="28"/>
    </row>
    <row r="18" spans="1:23" ht="13.2" customHeight="1">
      <c r="A18" s="24"/>
      <c r="B18" s="488" t="s">
        <v>569</v>
      </c>
      <c r="C18" s="488"/>
      <c r="D18" s="488"/>
      <c r="E18" s="488"/>
      <c r="F18" s="488"/>
      <c r="G18" s="488"/>
    </row>
    <row r="19" spans="1:23">
      <c r="A19" s="24"/>
      <c r="B19" s="24">
        <v>2005</v>
      </c>
      <c r="C19" s="448">
        <v>2006</v>
      </c>
      <c r="D19" s="448">
        <v>2007</v>
      </c>
      <c r="E19" s="448">
        <v>2008</v>
      </c>
      <c r="F19" s="448">
        <v>2009</v>
      </c>
      <c r="G19" s="448">
        <v>2010</v>
      </c>
    </row>
    <row r="20" spans="1:23" ht="12.75" customHeight="1">
      <c r="A20" s="55" t="s">
        <v>23</v>
      </c>
      <c r="B20" s="104">
        <v>24</v>
      </c>
      <c r="C20" s="104">
        <v>25</v>
      </c>
      <c r="D20" s="104">
        <v>25</v>
      </c>
      <c r="E20" s="104">
        <v>25</v>
      </c>
      <c r="F20" s="104">
        <v>25</v>
      </c>
      <c r="G20" s="104">
        <v>25</v>
      </c>
    </row>
    <row r="21" spans="1:23">
      <c r="A21" s="55" t="s">
        <v>777</v>
      </c>
      <c r="B21" s="179">
        <v>64.25</v>
      </c>
      <c r="C21" s="179">
        <v>64.650000000000006</v>
      </c>
      <c r="D21" s="179">
        <v>64.94</v>
      </c>
      <c r="E21" s="179">
        <v>65.2</v>
      </c>
      <c r="F21" s="179">
        <v>65.2</v>
      </c>
      <c r="G21" s="179">
        <v>65.41</v>
      </c>
    </row>
    <row r="22" spans="1:23" ht="13.8" thickBot="1">
      <c r="A22" s="105" t="s">
        <v>778</v>
      </c>
      <c r="B22" s="287">
        <v>2509</v>
      </c>
      <c r="C22" s="287">
        <v>2588</v>
      </c>
      <c r="D22" s="287">
        <v>2618</v>
      </c>
      <c r="E22" s="287">
        <v>2615</v>
      </c>
      <c r="F22" s="287">
        <v>2601</v>
      </c>
      <c r="G22" s="287">
        <v>2564</v>
      </c>
    </row>
    <row r="23" spans="1:23" ht="18" customHeight="1" thickTop="1">
      <c r="A23" s="226" t="s">
        <v>779</v>
      </c>
      <c r="B23" s="28"/>
      <c r="C23" s="28"/>
      <c r="D23" s="28"/>
      <c r="E23" s="28"/>
      <c r="F23" s="28"/>
      <c r="G23" s="28"/>
    </row>
    <row r="24" spans="1:23" ht="13.2" customHeight="1">
      <c r="A24" s="125"/>
      <c r="B24" s="488" t="s">
        <v>1010</v>
      </c>
      <c r="C24" s="488"/>
      <c r="D24" s="488"/>
      <c r="E24" s="488"/>
      <c r="F24" s="488"/>
      <c r="G24" s="488"/>
    </row>
    <row r="25" spans="1:23">
      <c r="A25" s="24"/>
      <c r="B25" s="24">
        <v>2005</v>
      </c>
      <c r="C25" s="448">
        <v>2006</v>
      </c>
      <c r="D25" s="448">
        <v>2007</v>
      </c>
      <c r="E25" s="448">
        <v>2008</v>
      </c>
      <c r="F25" s="448">
        <v>2009</v>
      </c>
      <c r="G25" s="448">
        <v>2010</v>
      </c>
    </row>
    <row r="26" spans="1:23">
      <c r="A26" s="55" t="s">
        <v>1011</v>
      </c>
      <c r="B26" s="84"/>
      <c r="C26" s="84"/>
      <c r="D26" s="84"/>
      <c r="E26" s="288"/>
      <c r="F26" s="288"/>
      <c r="G26" s="288"/>
    </row>
    <row r="27" spans="1:23">
      <c r="A27" s="168" t="s">
        <v>58</v>
      </c>
      <c r="B27" s="56">
        <v>0</v>
      </c>
      <c r="C27" s="56">
        <v>0</v>
      </c>
      <c r="D27" s="56">
        <v>1074.8</v>
      </c>
      <c r="E27" s="56">
        <v>107.1</v>
      </c>
      <c r="F27" s="56">
        <v>161.4</v>
      </c>
      <c r="G27" s="56">
        <f>ROUND(866.627,1)</f>
        <v>866.6</v>
      </c>
    </row>
    <row r="28" spans="1:23">
      <c r="A28" s="168" t="s">
        <v>59</v>
      </c>
      <c r="B28" s="56">
        <v>19513.3</v>
      </c>
      <c r="C28" s="56">
        <v>21189.200000000001</v>
      </c>
      <c r="D28" s="56">
        <v>21295.599999999999</v>
      </c>
      <c r="E28" s="56">
        <v>24370.5</v>
      </c>
      <c r="F28" s="56">
        <v>3075</v>
      </c>
      <c r="G28" s="56">
        <f>ROUND(24097.694,1)</f>
        <v>24097.7</v>
      </c>
    </row>
    <row r="29" spans="1:23">
      <c r="A29" s="168" t="s">
        <v>1012</v>
      </c>
      <c r="B29" s="56">
        <v>22416.6</v>
      </c>
      <c r="C29" s="56">
        <v>25659.5</v>
      </c>
      <c r="D29" s="56">
        <v>19766.099999999999</v>
      </c>
      <c r="E29" s="56">
        <v>24020.400000000001</v>
      </c>
      <c r="F29" s="56">
        <v>10116.9</v>
      </c>
      <c r="G29" s="56">
        <f>ROUND(20680.963,1)</f>
        <v>20681</v>
      </c>
      <c r="H29" s="2"/>
      <c r="I29" s="2"/>
      <c r="J29" s="2"/>
      <c r="K29" s="2"/>
      <c r="L29" s="2"/>
      <c r="M29" s="2"/>
      <c r="N29" s="2"/>
      <c r="O29" s="2"/>
      <c r="P29" s="2"/>
      <c r="Q29" s="2"/>
      <c r="R29" s="2"/>
      <c r="S29" s="2"/>
      <c r="T29" s="2"/>
      <c r="U29" s="2"/>
      <c r="V29" s="2"/>
      <c r="W29" s="2"/>
    </row>
    <row r="30" spans="1:23" ht="12.75" customHeight="1">
      <c r="A30" s="168" t="s">
        <v>61</v>
      </c>
      <c r="B30" s="56">
        <v>4385.1000000000004</v>
      </c>
      <c r="C30" s="56">
        <v>3500.8</v>
      </c>
      <c r="D30" s="56">
        <v>859.5</v>
      </c>
      <c r="E30" s="56">
        <v>3150.4</v>
      </c>
      <c r="F30" s="56">
        <v>2319.1</v>
      </c>
      <c r="G30" s="56">
        <f>ROUND(2085.394,1)</f>
        <v>2085.4</v>
      </c>
      <c r="H30" s="19"/>
      <c r="I30" s="19"/>
      <c r="J30" s="19"/>
      <c r="K30" s="19"/>
      <c r="L30" s="19"/>
      <c r="M30" s="19"/>
      <c r="N30" s="19"/>
      <c r="O30" s="19"/>
      <c r="P30" s="19"/>
      <c r="Q30" s="19"/>
      <c r="R30" s="19"/>
      <c r="S30" s="19"/>
      <c r="T30" s="19"/>
      <c r="U30" s="19"/>
      <c r="V30" s="19"/>
      <c r="W30" s="19"/>
    </row>
    <row r="31" spans="1:23">
      <c r="A31" s="289" t="s">
        <v>1013</v>
      </c>
      <c r="B31" s="290">
        <v>46315</v>
      </c>
      <c r="C31" s="290">
        <f>SUM(C27:C30)</f>
        <v>50349.5</v>
      </c>
      <c r="D31" s="290">
        <f>SUM(D27:D30)</f>
        <v>42996</v>
      </c>
      <c r="E31" s="290">
        <f>SUM(E27:E30)</f>
        <v>51648.4</v>
      </c>
      <c r="F31" s="290">
        <f>SUM(F27:F30)</f>
        <v>15672.4</v>
      </c>
      <c r="G31" s="290">
        <f>SUM(G27:G30)</f>
        <v>47730.700000000004</v>
      </c>
      <c r="H31" s="19"/>
      <c r="I31" s="19"/>
      <c r="J31" s="19"/>
      <c r="K31" s="19"/>
      <c r="L31" s="19"/>
      <c r="M31" s="19"/>
      <c r="N31" s="19"/>
      <c r="O31" s="19"/>
      <c r="P31" s="19"/>
      <c r="Q31" s="19"/>
      <c r="R31" s="19"/>
      <c r="S31" s="19"/>
      <c r="T31" s="19"/>
      <c r="U31" s="19"/>
      <c r="V31" s="19"/>
      <c r="W31" s="11"/>
    </row>
    <row r="32" spans="1:23" ht="13.2" customHeight="1">
      <c r="A32" s="291"/>
      <c r="B32" s="488" t="s">
        <v>1014</v>
      </c>
      <c r="C32" s="488"/>
      <c r="D32" s="488"/>
      <c r="E32" s="488"/>
      <c r="F32" s="488"/>
      <c r="G32" s="488"/>
      <c r="H32" s="10"/>
      <c r="I32" s="10"/>
      <c r="J32" s="10"/>
      <c r="K32" s="10"/>
      <c r="L32" s="10"/>
      <c r="M32" s="10"/>
      <c r="N32" s="10"/>
      <c r="O32" s="10"/>
      <c r="P32" s="10"/>
      <c r="Q32" s="10"/>
      <c r="R32" s="10"/>
      <c r="S32" s="10"/>
      <c r="T32" s="10"/>
      <c r="U32" s="10"/>
      <c r="V32" s="10"/>
      <c r="W32" s="10"/>
    </row>
    <row r="33" spans="1:23">
      <c r="A33" s="291"/>
      <c r="B33" s="24" t="s">
        <v>1015</v>
      </c>
      <c r="C33" s="24" t="s">
        <v>1080</v>
      </c>
      <c r="D33" s="24" t="s">
        <v>1081</v>
      </c>
      <c r="E33" s="24" t="s">
        <v>1082</v>
      </c>
      <c r="F33" s="24" t="s">
        <v>1083</v>
      </c>
      <c r="G33" s="24" t="s">
        <v>1084</v>
      </c>
      <c r="H33" s="8"/>
      <c r="I33" s="8"/>
      <c r="J33" s="8"/>
      <c r="K33" s="8"/>
      <c r="L33" s="8"/>
      <c r="M33" s="8"/>
      <c r="N33" s="8"/>
      <c r="O33" s="8"/>
      <c r="P33" s="8"/>
      <c r="Q33" s="8"/>
      <c r="R33" s="8"/>
      <c r="S33" s="8"/>
      <c r="T33" s="8"/>
      <c r="U33" s="8"/>
      <c r="V33" s="8"/>
      <c r="W33" s="10"/>
    </row>
    <row r="34" spans="1:23">
      <c r="A34" s="55" t="s">
        <v>1016</v>
      </c>
      <c r="B34" s="104"/>
      <c r="C34" s="104"/>
      <c r="D34" s="104"/>
      <c r="E34" s="104"/>
      <c r="F34" s="104"/>
      <c r="G34" s="104"/>
      <c r="H34" s="8"/>
      <c r="I34" s="8"/>
      <c r="J34" s="8"/>
      <c r="K34" s="8"/>
      <c r="L34" s="8"/>
      <c r="M34" s="8"/>
      <c r="N34" s="8"/>
      <c r="O34" s="8"/>
      <c r="P34" s="8"/>
      <c r="Q34" s="8"/>
      <c r="R34" s="8"/>
      <c r="S34" s="8"/>
      <c r="T34" s="8"/>
      <c r="U34" s="8"/>
      <c r="V34" s="8"/>
      <c r="W34" s="8"/>
    </row>
    <row r="35" spans="1:23">
      <c r="A35" s="168" t="s">
        <v>1012</v>
      </c>
      <c r="B35" s="56">
        <v>185.7</v>
      </c>
      <c r="C35" s="56">
        <v>4.0999999999999996</v>
      </c>
      <c r="D35" s="56">
        <v>89.7</v>
      </c>
      <c r="E35" s="56">
        <v>107.1</v>
      </c>
      <c r="F35" s="56">
        <v>155.80000000000001</v>
      </c>
      <c r="G35" s="56">
        <v>135</v>
      </c>
      <c r="H35" s="8"/>
      <c r="I35" s="8"/>
      <c r="J35" s="8"/>
      <c r="K35" s="8"/>
      <c r="L35" s="8"/>
      <c r="M35" s="8"/>
      <c r="N35" s="8"/>
      <c r="O35" s="8"/>
      <c r="P35" s="8"/>
      <c r="Q35" s="8"/>
      <c r="R35" s="8"/>
      <c r="S35" s="8"/>
      <c r="T35" s="8"/>
      <c r="U35" s="8"/>
      <c r="V35" s="8"/>
      <c r="W35" s="8"/>
    </row>
    <row r="36" spans="1:23">
      <c r="A36" s="168" t="s">
        <v>61</v>
      </c>
      <c r="B36" s="56">
        <v>12873.2</v>
      </c>
      <c r="C36" s="56">
        <v>12743.4</v>
      </c>
      <c r="D36" s="56">
        <v>21688.7</v>
      </c>
      <c r="E36" s="56">
        <v>7634.2</v>
      </c>
      <c r="F36" s="56">
        <v>18980.5</v>
      </c>
      <c r="G36" s="56">
        <v>14428.8</v>
      </c>
      <c r="H36" s="8"/>
      <c r="I36" s="8"/>
      <c r="J36" s="8"/>
      <c r="K36" s="8"/>
      <c r="L36" s="8"/>
      <c r="M36" s="8"/>
      <c r="N36" s="8"/>
      <c r="O36" s="8"/>
      <c r="P36" s="8"/>
      <c r="Q36" s="8"/>
      <c r="R36" s="8"/>
      <c r="S36" s="8"/>
      <c r="T36" s="8"/>
      <c r="U36" s="8"/>
      <c r="V36" s="8"/>
      <c r="W36" s="8"/>
    </row>
    <row r="37" spans="1:23" ht="12.75" customHeight="1">
      <c r="A37" s="168" t="s">
        <v>1017</v>
      </c>
      <c r="B37" s="56">
        <v>34936</v>
      </c>
      <c r="C37" s="56">
        <v>19763.599999999999</v>
      </c>
      <c r="D37" s="56">
        <v>28347.1</v>
      </c>
      <c r="E37" s="56">
        <v>8653.9</v>
      </c>
      <c r="F37" s="56">
        <v>26176.9</v>
      </c>
      <c r="G37" s="56">
        <v>31740.7</v>
      </c>
    </row>
    <row r="38" spans="1:23">
      <c r="A38" s="168" t="s">
        <v>1018</v>
      </c>
      <c r="B38" s="56">
        <v>518.1</v>
      </c>
      <c r="C38" s="56">
        <v>116.5</v>
      </c>
      <c r="D38" s="56">
        <v>18.5</v>
      </c>
      <c r="E38" s="56">
        <v>2234</v>
      </c>
      <c r="F38" s="56">
        <v>44.4</v>
      </c>
      <c r="G38" s="56">
        <v>1307.9000000000001</v>
      </c>
    </row>
    <row r="39" spans="1:23" ht="13.8" thickBot="1">
      <c r="A39" s="292" t="s">
        <v>1013</v>
      </c>
      <c r="B39" s="53">
        <v>48513</v>
      </c>
      <c r="C39" s="53">
        <f>SUM(C35:C38)</f>
        <v>32627.599999999999</v>
      </c>
      <c r="D39" s="53">
        <f>SUM(D35:D38)</f>
        <v>50144</v>
      </c>
      <c r="E39" s="53">
        <f>SUM(E35:E38)</f>
        <v>18629.2</v>
      </c>
      <c r="F39" s="53">
        <f>SUM(F35:F38)</f>
        <v>45357.599999999999</v>
      </c>
      <c r="G39" s="53">
        <f>SUM(G35:G38)</f>
        <v>47612.4</v>
      </c>
    </row>
    <row r="40" spans="1:23" ht="24.75" customHeight="1">
      <c r="A40" s="64" t="s">
        <v>1019</v>
      </c>
      <c r="B40" s="98">
        <v>568</v>
      </c>
      <c r="C40" s="98">
        <v>600</v>
      </c>
      <c r="D40" s="98">
        <v>608</v>
      </c>
      <c r="E40" s="98">
        <v>620</v>
      </c>
      <c r="F40" s="98">
        <v>620</v>
      </c>
      <c r="G40" s="98">
        <v>620</v>
      </c>
    </row>
    <row r="41" spans="1:23" ht="26.4" customHeight="1" thickBot="1">
      <c r="A41" s="105" t="s">
        <v>1020</v>
      </c>
      <c r="B41" s="194">
        <v>477.5</v>
      </c>
      <c r="C41" s="194">
        <v>488</v>
      </c>
      <c r="D41" s="194">
        <v>492.4</v>
      </c>
      <c r="E41" s="194">
        <v>500</v>
      </c>
      <c r="F41" s="194">
        <v>500</v>
      </c>
      <c r="G41" s="194">
        <v>500</v>
      </c>
    </row>
    <row r="42" spans="1:23" ht="16.2" thickTop="1">
      <c r="A42" s="293"/>
      <c r="B42" s="28"/>
      <c r="C42" s="28"/>
      <c r="D42" s="28"/>
      <c r="E42" s="28"/>
      <c r="F42" s="28"/>
      <c r="G42" s="28"/>
    </row>
    <row r="43" spans="1:23" ht="25.5" customHeight="1">
      <c r="A43" s="569" t="s">
        <v>752</v>
      </c>
      <c r="B43" s="569"/>
      <c r="C43" s="569"/>
      <c r="D43" s="569"/>
      <c r="E43" s="569"/>
      <c r="F43" s="569"/>
      <c r="G43" s="294"/>
    </row>
    <row r="44" spans="1:23" ht="25.5" customHeight="1">
      <c r="A44" s="294"/>
      <c r="B44" s="294"/>
      <c r="C44" s="294"/>
      <c r="D44" s="294"/>
      <c r="E44" s="294"/>
      <c r="F44" s="294"/>
      <c r="G44" s="294"/>
    </row>
    <row r="45" spans="1:23" ht="25.5" customHeight="1">
      <c r="A45" s="294"/>
      <c r="B45" s="294"/>
      <c r="C45" s="294"/>
      <c r="D45" s="294"/>
      <c r="E45" s="294"/>
      <c r="F45" s="294"/>
      <c r="G45" s="294"/>
    </row>
    <row r="46" spans="1:23" ht="25.5" customHeight="1">
      <c r="A46" s="294"/>
      <c r="B46" s="294"/>
      <c r="C46" s="294"/>
      <c r="D46" s="294"/>
      <c r="E46" s="294"/>
      <c r="F46" s="294"/>
      <c r="G46" s="294"/>
    </row>
    <row r="47" spans="1:23" ht="25.5" customHeight="1">
      <c r="A47" s="294"/>
      <c r="B47" s="294"/>
      <c r="C47" s="294"/>
      <c r="D47" s="294"/>
      <c r="E47" s="294"/>
      <c r="F47" s="294"/>
      <c r="G47" s="294"/>
    </row>
    <row r="48" spans="1:23" ht="25.5" customHeight="1">
      <c r="A48" s="294"/>
      <c r="B48" s="294"/>
      <c r="C48" s="294"/>
      <c r="D48" s="294"/>
      <c r="E48" s="294"/>
      <c r="F48" s="294"/>
      <c r="G48" s="294"/>
    </row>
    <row r="49" spans="1:7" ht="25.5" customHeight="1">
      <c r="A49" s="294"/>
      <c r="B49" s="294"/>
      <c r="C49" s="294"/>
      <c r="D49" s="294"/>
      <c r="E49" s="294"/>
      <c r="F49" s="294"/>
      <c r="G49" s="294"/>
    </row>
    <row r="50" spans="1:7" ht="25.5" customHeight="1">
      <c r="A50" s="294"/>
      <c r="B50" s="294"/>
      <c r="C50" s="294"/>
      <c r="D50" s="294"/>
      <c r="E50" s="294"/>
      <c r="F50" s="294"/>
      <c r="G50" s="294"/>
    </row>
    <row r="51" spans="1:7" ht="25.5" customHeight="1">
      <c r="A51" s="294"/>
      <c r="B51" s="294"/>
      <c r="C51" s="294"/>
      <c r="D51" s="294"/>
      <c r="E51" s="294"/>
      <c r="F51" s="294"/>
      <c r="G51" s="294"/>
    </row>
    <row r="52" spans="1:7" ht="25.5" customHeight="1">
      <c r="A52" s="294"/>
      <c r="B52" s="294"/>
      <c r="C52" s="294"/>
      <c r="D52" s="294"/>
      <c r="E52" s="294"/>
      <c r="F52" s="294"/>
      <c r="G52" s="294"/>
    </row>
    <row r="53" spans="1:7" ht="25.5" customHeight="1">
      <c r="A53" s="294"/>
      <c r="B53" s="294"/>
      <c r="C53" s="294"/>
      <c r="D53" s="294"/>
      <c r="E53" s="294"/>
      <c r="F53" s="294"/>
      <c r="G53" s="294"/>
    </row>
    <row r="54" spans="1:7" ht="25.5" customHeight="1">
      <c r="A54" s="294"/>
      <c r="B54" s="294"/>
      <c r="C54" s="294"/>
      <c r="D54" s="294"/>
      <c r="E54" s="294"/>
      <c r="F54" s="294"/>
      <c r="G54" s="294"/>
    </row>
    <row r="55" spans="1:7" ht="25.5" customHeight="1">
      <c r="A55" s="294"/>
      <c r="B55" s="294"/>
      <c r="C55" s="294"/>
      <c r="D55" s="294"/>
      <c r="E55" s="294"/>
      <c r="F55" s="294"/>
      <c r="G55" s="294"/>
    </row>
    <row r="56" spans="1:7" ht="25.5" customHeight="1">
      <c r="A56" s="294"/>
      <c r="B56" s="294"/>
      <c r="C56" s="294"/>
      <c r="D56" s="294"/>
      <c r="E56" s="294"/>
      <c r="F56" s="294"/>
      <c r="G56" s="294"/>
    </row>
    <row r="57" spans="1:7" ht="25.5" customHeight="1">
      <c r="A57" s="294"/>
      <c r="B57" s="294"/>
      <c r="C57" s="294"/>
      <c r="D57" s="294"/>
      <c r="E57" s="294"/>
      <c r="F57" s="294"/>
      <c r="G57" s="294"/>
    </row>
    <row r="58" spans="1:7">
      <c r="A58" s="226" t="s">
        <v>1021</v>
      </c>
      <c r="B58" s="28"/>
      <c r="C58" s="28"/>
      <c r="D58" s="28"/>
      <c r="E58" s="28"/>
      <c r="F58" s="28"/>
      <c r="G58" s="28"/>
    </row>
    <row r="59" spans="1:7">
      <c r="A59" s="125"/>
      <c r="B59" s="488" t="s">
        <v>1078</v>
      </c>
      <c r="C59" s="488"/>
      <c r="D59" s="488"/>
      <c r="E59" s="488"/>
      <c r="F59" s="488"/>
      <c r="G59" s="24"/>
    </row>
    <row r="60" spans="1:7">
      <c r="A60" s="24"/>
      <c r="B60" s="24">
        <v>2005</v>
      </c>
      <c r="C60" s="448">
        <v>2006</v>
      </c>
      <c r="D60" s="448">
        <v>2007</v>
      </c>
      <c r="E60" s="448">
        <v>2008</v>
      </c>
      <c r="F60" s="448">
        <v>2009</v>
      </c>
      <c r="G60" s="448">
        <v>2010</v>
      </c>
    </row>
    <row r="61" spans="1:7">
      <c r="A61" s="55" t="s">
        <v>1022</v>
      </c>
      <c r="B61" s="56"/>
      <c r="C61" s="56"/>
      <c r="D61" s="56"/>
      <c r="E61" s="56"/>
      <c r="F61" s="56"/>
      <c r="G61" s="56"/>
    </row>
    <row r="62" spans="1:7">
      <c r="A62" s="55" t="s">
        <v>789</v>
      </c>
      <c r="B62" s="56"/>
      <c r="C62" s="56"/>
      <c r="D62" s="56"/>
      <c r="E62" s="56"/>
      <c r="F62" s="56"/>
      <c r="G62" s="56"/>
    </row>
    <row r="63" spans="1:7">
      <c r="A63" s="59" t="s">
        <v>780</v>
      </c>
      <c r="B63" s="56">
        <v>1466.9</v>
      </c>
      <c r="C63" s="56">
        <v>1588.9</v>
      </c>
      <c r="D63" s="56">
        <v>135.30000000000001</v>
      </c>
      <c r="E63" s="56">
        <v>1300.0999999999999</v>
      </c>
      <c r="F63" s="56">
        <v>588.1</v>
      </c>
      <c r="G63" s="56">
        <f>ROUNDDOWN(1639.45,1)</f>
        <v>1639.4</v>
      </c>
    </row>
    <row r="64" spans="1:7">
      <c r="A64" s="59" t="s">
        <v>1023</v>
      </c>
      <c r="B64" s="56">
        <v>84</v>
      </c>
      <c r="C64" s="56">
        <v>101</v>
      </c>
      <c r="D64" s="56">
        <v>87</v>
      </c>
      <c r="E64" s="56">
        <v>89</v>
      </c>
      <c r="F64" s="56">
        <v>70</v>
      </c>
      <c r="G64" s="56">
        <v>46.1</v>
      </c>
    </row>
    <row r="65" spans="1:7">
      <c r="A65" s="55" t="s">
        <v>1024</v>
      </c>
      <c r="B65" s="56"/>
      <c r="C65" s="56"/>
      <c r="D65" s="56"/>
      <c r="E65" s="56"/>
      <c r="F65" s="56"/>
      <c r="G65" s="56"/>
    </row>
    <row r="66" spans="1:7">
      <c r="A66" s="59" t="s">
        <v>781</v>
      </c>
      <c r="B66" s="56">
        <v>374.9</v>
      </c>
      <c r="C66" s="56">
        <v>1142.7</v>
      </c>
      <c r="D66" s="56">
        <v>1111</v>
      </c>
      <c r="E66" s="56">
        <v>1384.8</v>
      </c>
      <c r="F66" s="56">
        <v>583.6</v>
      </c>
      <c r="G66" s="56">
        <f>ROUND(705.293,1)</f>
        <v>705.3</v>
      </c>
    </row>
    <row r="67" spans="1:7">
      <c r="A67" s="59" t="s">
        <v>782</v>
      </c>
      <c r="B67" s="56">
        <v>440.4</v>
      </c>
      <c r="C67" s="56">
        <v>449</v>
      </c>
      <c r="D67" s="56">
        <v>944.8</v>
      </c>
      <c r="E67" s="56">
        <v>858.6</v>
      </c>
      <c r="F67" s="56">
        <v>474.1</v>
      </c>
      <c r="G67" s="56">
        <f>ROUNDDOWN(580.758,1)</f>
        <v>580.70000000000005</v>
      </c>
    </row>
    <row r="68" spans="1:7">
      <c r="A68" s="59" t="s">
        <v>783</v>
      </c>
      <c r="B68" s="56">
        <v>76.8</v>
      </c>
      <c r="C68" s="56">
        <v>294.39999999999998</v>
      </c>
      <c r="D68" s="56">
        <v>414.5</v>
      </c>
      <c r="E68" s="56">
        <v>528.9</v>
      </c>
      <c r="F68" s="56">
        <v>225.8</v>
      </c>
      <c r="G68" s="56">
        <f>ROUND(233.672,1)</f>
        <v>233.7</v>
      </c>
    </row>
    <row r="69" spans="1:7">
      <c r="A69" s="59" t="s">
        <v>1025</v>
      </c>
      <c r="B69" s="56">
        <v>0</v>
      </c>
      <c r="C69" s="56">
        <v>0</v>
      </c>
      <c r="D69" s="56" t="s">
        <v>577</v>
      </c>
      <c r="E69" s="56">
        <v>273.89999999999998</v>
      </c>
      <c r="F69" s="56">
        <v>250</v>
      </c>
      <c r="G69" s="56">
        <f>ROUND(298.162,1)</f>
        <v>298.2</v>
      </c>
    </row>
    <row r="70" spans="1:7">
      <c r="A70" s="59" t="s">
        <v>1026</v>
      </c>
      <c r="B70" s="56">
        <v>0</v>
      </c>
      <c r="C70" s="56">
        <v>0</v>
      </c>
      <c r="D70" s="56">
        <v>0</v>
      </c>
      <c r="E70" s="56">
        <v>0</v>
      </c>
      <c r="F70" s="56">
        <v>328</v>
      </c>
      <c r="G70" s="56">
        <f>ROUND(853.78,1)</f>
        <v>853.8</v>
      </c>
    </row>
    <row r="71" spans="1:7">
      <c r="A71" s="100" t="s">
        <v>1013</v>
      </c>
      <c r="B71" s="290">
        <v>2443</v>
      </c>
      <c r="C71" s="290">
        <v>3576</v>
      </c>
      <c r="D71" s="290">
        <v>2692.6</v>
      </c>
      <c r="E71" s="290">
        <v>4435.3</v>
      </c>
      <c r="F71" s="290">
        <v>2519.6</v>
      </c>
      <c r="G71" s="290">
        <f>SUM(G63:G70)</f>
        <v>4357.2</v>
      </c>
    </row>
    <row r="72" spans="1:7" ht="13.2" customHeight="1">
      <c r="A72" s="109"/>
      <c r="B72" s="488" t="s">
        <v>1079</v>
      </c>
      <c r="C72" s="488"/>
      <c r="D72" s="488"/>
      <c r="E72" s="488"/>
      <c r="F72" s="488"/>
      <c r="G72" s="488"/>
    </row>
    <row r="73" spans="1:7">
      <c r="A73" s="109"/>
      <c r="B73" s="24" t="s">
        <v>1015</v>
      </c>
      <c r="C73" s="24" t="s">
        <v>1080</v>
      </c>
      <c r="D73" s="24" t="s">
        <v>1081</v>
      </c>
      <c r="E73" s="24" t="s">
        <v>1082</v>
      </c>
      <c r="F73" s="24" t="s">
        <v>1083</v>
      </c>
      <c r="G73" s="24" t="s">
        <v>1084</v>
      </c>
    </row>
    <row r="74" spans="1:7">
      <c r="A74" s="55" t="s">
        <v>119</v>
      </c>
      <c r="B74" s="84"/>
      <c r="C74" s="84"/>
      <c r="D74" s="84"/>
      <c r="E74" s="84"/>
      <c r="F74" s="84"/>
      <c r="G74" s="84"/>
    </row>
    <row r="75" spans="1:7">
      <c r="A75" s="55" t="s">
        <v>789</v>
      </c>
      <c r="B75" s="84"/>
      <c r="C75" s="84"/>
      <c r="D75" s="84"/>
      <c r="E75" s="84"/>
      <c r="F75" s="84"/>
      <c r="G75" s="84"/>
    </row>
    <row r="76" spans="1:7">
      <c r="A76" s="59" t="s">
        <v>780</v>
      </c>
      <c r="B76" s="56">
        <v>911.1</v>
      </c>
      <c r="C76" s="56">
        <v>213.1</v>
      </c>
      <c r="D76" s="56">
        <v>288.3</v>
      </c>
      <c r="E76" s="56">
        <v>682.8</v>
      </c>
      <c r="F76" s="56">
        <f>ROUND(1009.162,1)</f>
        <v>1009.2</v>
      </c>
      <c r="G76" s="56">
        <v>1658.5</v>
      </c>
    </row>
    <row r="77" spans="1:7">
      <c r="A77" s="59" t="s">
        <v>1023</v>
      </c>
      <c r="B77" s="56">
        <v>73</v>
      </c>
      <c r="C77" s="56">
        <v>78</v>
      </c>
      <c r="D77" s="56">
        <v>64</v>
      </c>
      <c r="E77" s="56">
        <v>80</v>
      </c>
      <c r="F77" s="56">
        <v>24</v>
      </c>
      <c r="G77" s="56">
        <v>21.2</v>
      </c>
    </row>
    <row r="78" spans="1:7">
      <c r="A78" s="55" t="s">
        <v>1024</v>
      </c>
      <c r="B78" s="56"/>
      <c r="C78" s="56"/>
      <c r="D78" s="56"/>
      <c r="E78" s="56"/>
      <c r="F78" s="56"/>
      <c r="G78" s="56"/>
    </row>
    <row r="79" spans="1:7">
      <c r="A79" s="59" t="s">
        <v>781</v>
      </c>
      <c r="B79" s="56">
        <v>661.4</v>
      </c>
      <c r="C79" s="56">
        <v>887.4</v>
      </c>
      <c r="D79" s="56">
        <v>952.2</v>
      </c>
      <c r="E79" s="56">
        <v>790.1</v>
      </c>
      <c r="F79" s="56">
        <f>ROUND(731.396,1)</f>
        <v>731.4</v>
      </c>
      <c r="G79" s="56">
        <v>454.6</v>
      </c>
    </row>
    <row r="80" spans="1:7">
      <c r="A80" s="59" t="s">
        <v>782</v>
      </c>
      <c r="B80" s="56">
        <v>200</v>
      </c>
      <c r="C80" s="56">
        <v>200</v>
      </c>
      <c r="D80" s="56">
        <v>652.79999999999995</v>
      </c>
      <c r="E80" s="56">
        <v>381.9</v>
      </c>
      <c r="F80" s="56">
        <f>ROUNDDOWN(480.151,1)</f>
        <v>480.1</v>
      </c>
      <c r="G80" s="56">
        <v>543.70000000000005</v>
      </c>
    </row>
    <row r="81" spans="1:7">
      <c r="A81" s="59" t="s">
        <v>783</v>
      </c>
      <c r="B81" s="56">
        <v>0</v>
      </c>
      <c r="C81" s="56">
        <v>371.2</v>
      </c>
      <c r="D81" s="56">
        <v>422.4</v>
      </c>
      <c r="E81" s="56">
        <v>227.5</v>
      </c>
      <c r="F81" s="56">
        <f>ROUND(317.951,1)</f>
        <v>318</v>
      </c>
      <c r="G81" s="56">
        <v>435</v>
      </c>
    </row>
    <row r="82" spans="1:7">
      <c r="A82" s="59" t="s">
        <v>1025</v>
      </c>
      <c r="B82" s="56">
        <v>0</v>
      </c>
      <c r="C82" s="56">
        <v>0</v>
      </c>
      <c r="D82" s="56">
        <v>0</v>
      </c>
      <c r="E82" s="56">
        <v>273.89999999999998</v>
      </c>
      <c r="F82" s="56">
        <f>ROUND(248.515,1)</f>
        <v>248.5</v>
      </c>
      <c r="G82" s="56">
        <v>299.60000000000002</v>
      </c>
    </row>
    <row r="83" spans="1:7" ht="13.8" thickBot="1">
      <c r="A83" s="86" t="s">
        <v>1013</v>
      </c>
      <c r="B83" s="69">
        <v>1845.5</v>
      </c>
      <c r="C83" s="69">
        <v>1749.7</v>
      </c>
      <c r="D83" s="69">
        <v>2379.6999999999998</v>
      </c>
      <c r="E83" s="69">
        <v>2436.1999999999998</v>
      </c>
      <c r="F83" s="69">
        <f>SUM(F76:F82)</f>
        <v>2811.2</v>
      </c>
      <c r="G83" s="69">
        <f>SUM(G76:G82)</f>
        <v>3412.6</v>
      </c>
    </row>
    <row r="84" spans="1:7" ht="13.8" thickTop="1">
      <c r="A84" s="570" t="s">
        <v>587</v>
      </c>
      <c r="B84" s="570"/>
      <c r="C84" s="570"/>
      <c r="D84" s="570"/>
      <c r="E84" s="570"/>
      <c r="F84" s="570"/>
      <c r="G84" s="570"/>
    </row>
    <row r="85" spans="1:7">
      <c r="A85" s="29"/>
      <c r="B85" s="29"/>
      <c r="C85" s="29"/>
      <c r="D85" s="29"/>
      <c r="E85" s="29"/>
      <c r="F85" s="29"/>
      <c r="G85" s="29"/>
    </row>
    <row r="86" spans="1:7">
      <c r="A86" s="487" t="s">
        <v>776</v>
      </c>
      <c r="B86" s="487"/>
      <c r="C86" s="487"/>
      <c r="D86" s="487"/>
      <c r="E86" s="487"/>
      <c r="F86" s="487"/>
      <c r="G86" s="22"/>
    </row>
  </sheetData>
  <sheetProtection password="CAF1" sheet="1" formatCells="0" formatColumns="0" formatRows="0" insertColumns="0" insertRows="0" insertHyperlinks="0" deleteColumns="0" deleteRows="0" sort="0" autoFilter="0" pivotTables="0"/>
  <mergeCells count="9">
    <mergeCell ref="B24:G24"/>
    <mergeCell ref="B18:G18"/>
    <mergeCell ref="A86:F86"/>
    <mergeCell ref="A2:F2"/>
    <mergeCell ref="A43:F43"/>
    <mergeCell ref="B59:F59"/>
    <mergeCell ref="B32:G32"/>
    <mergeCell ref="B72:G72"/>
    <mergeCell ref="A84:G84"/>
  </mergeCells>
  <phoneticPr fontId="8" type="noConversion"/>
  <hyperlinks>
    <hyperlink ref="A86:F86" location="Титул!A1" display="Вернуться к Содержанию"/>
  </hyperlinks>
  <pageMargins left="0.25" right="0.25" top="0.75" bottom="0.75" header="0.3" footer="0.3"/>
  <pageSetup paperSize="9" firstPageNumber="34" orientation="portrait" useFirstPageNumber="1" r:id="rId1"/>
  <headerFooter alignWithMargins="0">
    <oddHeader>&amp;L&amp;"Times New Roman,полужирный"Газпром в цифрах 2006-2010 гг.&amp;R&amp;"Times New Roman,полужирный"Справочник</oddHeader>
    <oddFooter>&amp;C&amp;P</oddFooter>
  </headerFooter>
  <rowBreaks count="1" manualBreakCount="1">
    <brk id="41" max="6" man="1"/>
  </rowBreaks>
  <drawing r:id="rId2"/>
</worksheet>
</file>

<file path=xl/worksheets/sheet22.xml><?xml version="1.0" encoding="utf-8"?>
<worksheet xmlns="http://schemas.openxmlformats.org/spreadsheetml/2006/main" xmlns:r="http://schemas.openxmlformats.org/officeDocument/2006/relationships">
  <sheetPr codeName="Лист22"/>
  <dimension ref="A1:G39"/>
  <sheetViews>
    <sheetView zoomScaleNormal="100" zoomScaleSheetLayoutView="100" workbookViewId="0"/>
  </sheetViews>
  <sheetFormatPr defaultColWidth="0" defaultRowHeight="13.2" zeroHeight="1" outlineLevelCol="1"/>
  <cols>
    <col min="1" max="1" width="53.88671875" style="2" customWidth="1"/>
    <col min="2" max="2" width="9.33203125" style="2" hidden="1" customWidth="1" outlineLevel="1"/>
    <col min="3" max="3" width="9.33203125" style="2" bestFit="1" customWidth="1" collapsed="1"/>
    <col min="4" max="4" width="9.33203125" style="2" bestFit="1" customWidth="1"/>
    <col min="5" max="6" width="9.5546875" style="2" bestFit="1" customWidth="1"/>
    <col min="7" max="7" width="9.5546875" style="2" customWidth="1"/>
    <col min="8" max="16384" width="0" style="2" hidden="1"/>
  </cols>
  <sheetData>
    <row r="1" spans="1:7" ht="15.6">
      <c r="A1" s="51" t="s">
        <v>342</v>
      </c>
      <c r="B1" s="28"/>
      <c r="C1" s="28"/>
      <c r="D1" s="28"/>
      <c r="E1" s="28"/>
      <c r="F1" s="28"/>
      <c r="G1" s="28"/>
    </row>
    <row r="2" spans="1:7" ht="18" customHeight="1">
      <c r="A2" s="571" t="s">
        <v>286</v>
      </c>
      <c r="B2" s="571"/>
      <c r="C2" s="571"/>
      <c r="D2" s="571"/>
      <c r="E2" s="571"/>
      <c r="F2" s="571"/>
      <c r="G2" s="571"/>
    </row>
    <row r="3" spans="1:7" ht="13.2" customHeight="1">
      <c r="A3" s="125"/>
      <c r="B3" s="488" t="s">
        <v>1027</v>
      </c>
      <c r="C3" s="488"/>
      <c r="D3" s="488"/>
      <c r="E3" s="488"/>
      <c r="F3" s="488"/>
      <c r="G3" s="488"/>
    </row>
    <row r="4" spans="1:7">
      <c r="A4" s="125"/>
      <c r="B4" s="24">
        <v>2005</v>
      </c>
      <c r="C4" s="448">
        <v>2006</v>
      </c>
      <c r="D4" s="448">
        <v>2007</v>
      </c>
      <c r="E4" s="448">
        <v>2008</v>
      </c>
      <c r="F4" s="448">
        <v>2009</v>
      </c>
      <c r="G4" s="448">
        <v>2010</v>
      </c>
    </row>
    <row r="5" spans="1:7">
      <c r="A5" s="572" t="s">
        <v>1028</v>
      </c>
      <c r="B5" s="572"/>
      <c r="C5" s="572"/>
      <c r="D5" s="572"/>
      <c r="E5" s="572"/>
      <c r="F5" s="572"/>
      <c r="G5" s="572"/>
    </row>
    <row r="6" spans="1:7" ht="22.95" customHeight="1">
      <c r="A6" s="59" t="s">
        <v>383</v>
      </c>
      <c r="B6" s="295">
        <v>33.9</v>
      </c>
      <c r="C6" s="295">
        <v>33.5</v>
      </c>
      <c r="D6" s="295">
        <v>33.299999999999997</v>
      </c>
      <c r="E6" s="295">
        <v>33.299999999999997</v>
      </c>
      <c r="F6" s="295">
        <v>30.4</v>
      </c>
      <c r="G6" s="296">
        <v>33.6</v>
      </c>
    </row>
    <row r="7" spans="1:7">
      <c r="A7" s="297" t="s">
        <v>1086</v>
      </c>
      <c r="B7" s="295">
        <v>12.4</v>
      </c>
      <c r="C7" s="295">
        <v>13.8</v>
      </c>
      <c r="D7" s="295">
        <v>10.7</v>
      </c>
      <c r="E7" s="295">
        <v>5.0999999999999996</v>
      </c>
      <c r="F7" s="295">
        <v>0</v>
      </c>
      <c r="G7" s="295">
        <v>0</v>
      </c>
    </row>
    <row r="8" spans="1:7">
      <c r="A8" s="100" t="s">
        <v>1029</v>
      </c>
      <c r="B8" s="298">
        <v>46.3</v>
      </c>
      <c r="C8" s="298">
        <v>47.3</v>
      </c>
      <c r="D8" s="298">
        <v>44</v>
      </c>
      <c r="E8" s="298">
        <v>38.4</v>
      </c>
      <c r="F8" s="298">
        <v>30.4</v>
      </c>
      <c r="G8" s="440">
        <v>33.6</v>
      </c>
    </row>
    <row r="9" spans="1:7" ht="13.2" customHeight="1">
      <c r="A9" s="573" t="s">
        <v>285</v>
      </c>
      <c r="B9" s="573"/>
      <c r="C9" s="573"/>
      <c r="D9" s="573"/>
      <c r="E9" s="573"/>
      <c r="F9" s="573"/>
      <c r="G9" s="573"/>
    </row>
    <row r="10" spans="1:7" ht="23.4" customHeight="1">
      <c r="A10" s="59" t="s">
        <v>383</v>
      </c>
      <c r="B10" s="295">
        <v>12</v>
      </c>
      <c r="C10" s="295">
        <v>12</v>
      </c>
      <c r="D10" s="295">
        <v>12</v>
      </c>
      <c r="E10" s="295">
        <v>11.7</v>
      </c>
      <c r="F10" s="295">
        <v>10.9</v>
      </c>
      <c r="G10" s="296">
        <v>12.3</v>
      </c>
    </row>
    <row r="11" spans="1:7">
      <c r="A11" s="297" t="s">
        <v>1087</v>
      </c>
      <c r="B11" s="295">
        <v>4.0999999999999996</v>
      </c>
      <c r="C11" s="295">
        <v>24.4</v>
      </c>
      <c r="D11" s="295">
        <v>26.2</v>
      </c>
      <c r="E11" s="295">
        <v>28.4</v>
      </c>
      <c r="F11" s="295">
        <v>33.4</v>
      </c>
      <c r="G11" s="299">
        <v>37.9</v>
      </c>
    </row>
    <row r="12" spans="1:7">
      <c r="A12" s="232" t="s">
        <v>1030</v>
      </c>
      <c r="B12" s="295">
        <v>4.0999999999999996</v>
      </c>
      <c r="C12" s="295">
        <v>24.4</v>
      </c>
      <c r="D12" s="295">
        <v>26.2</v>
      </c>
      <c r="E12" s="295">
        <v>28.4</v>
      </c>
      <c r="F12" s="295">
        <v>31</v>
      </c>
      <c r="G12" s="300">
        <v>35</v>
      </c>
    </row>
    <row r="13" spans="1:7">
      <c r="A13" s="232" t="s">
        <v>892</v>
      </c>
      <c r="B13" s="295">
        <v>0</v>
      </c>
      <c r="C13" s="295">
        <v>0</v>
      </c>
      <c r="D13" s="295">
        <v>0</v>
      </c>
      <c r="E13" s="295">
        <v>0</v>
      </c>
      <c r="F13" s="295">
        <v>2.4</v>
      </c>
      <c r="G13" s="299">
        <v>2.9</v>
      </c>
    </row>
    <row r="14" spans="1:7" ht="13.8" thickBot="1">
      <c r="A14" s="68" t="s">
        <v>580</v>
      </c>
      <c r="B14" s="301">
        <v>16.100000000000001</v>
      </c>
      <c r="C14" s="301">
        <v>36.4</v>
      </c>
      <c r="D14" s="301">
        <v>38.200000000000003</v>
      </c>
      <c r="E14" s="301">
        <v>40.1</v>
      </c>
      <c r="F14" s="301">
        <v>44.3</v>
      </c>
      <c r="G14" s="302">
        <v>50.2</v>
      </c>
    </row>
    <row r="15" spans="1:7" ht="13.8" thickTop="1">
      <c r="A15" s="496" t="s">
        <v>382</v>
      </c>
      <c r="B15" s="496"/>
      <c r="C15" s="496"/>
      <c r="D15" s="496"/>
      <c r="E15" s="496"/>
      <c r="F15" s="496"/>
      <c r="G15" s="496"/>
    </row>
    <row r="16" spans="1:7">
      <c r="A16" s="501" t="s">
        <v>1085</v>
      </c>
      <c r="B16" s="501"/>
      <c r="C16" s="501"/>
      <c r="D16" s="501"/>
      <c r="E16" s="501"/>
      <c r="F16" s="501"/>
      <c r="G16" s="501"/>
    </row>
    <row r="17" spans="1:7">
      <c r="A17" s="494" t="s">
        <v>893</v>
      </c>
      <c r="B17" s="494"/>
      <c r="C17" s="494"/>
      <c r="D17" s="494"/>
      <c r="E17" s="494"/>
      <c r="F17" s="494"/>
      <c r="G17" s="494"/>
    </row>
    <row r="18" spans="1:7" ht="30" customHeight="1">
      <c r="A18" s="514" t="s">
        <v>287</v>
      </c>
      <c r="B18" s="514"/>
      <c r="C18" s="514"/>
      <c r="D18" s="514"/>
      <c r="E18" s="514"/>
      <c r="F18" s="514"/>
      <c r="G18" s="514"/>
    </row>
    <row r="19" spans="1:7" ht="13.2" customHeight="1">
      <c r="A19" s="125"/>
      <c r="B19" s="488" t="s">
        <v>1027</v>
      </c>
      <c r="C19" s="488"/>
      <c r="D19" s="488"/>
      <c r="E19" s="488"/>
      <c r="F19" s="488"/>
      <c r="G19" s="488"/>
    </row>
    <row r="20" spans="1:7">
      <c r="A20" s="125"/>
      <c r="B20" s="24">
        <v>2005</v>
      </c>
      <c r="C20" s="448">
        <v>2006</v>
      </c>
      <c r="D20" s="448">
        <v>2007</v>
      </c>
      <c r="E20" s="448">
        <v>2008</v>
      </c>
      <c r="F20" s="448">
        <v>2009</v>
      </c>
      <c r="G20" s="448">
        <v>2010</v>
      </c>
    </row>
    <row r="21" spans="1:7">
      <c r="A21" s="59" t="s">
        <v>1031</v>
      </c>
      <c r="B21" s="295">
        <v>3728.7</v>
      </c>
      <c r="C21" s="295">
        <v>3792.8</v>
      </c>
      <c r="D21" s="295">
        <v>3653.2</v>
      </c>
      <c r="E21" s="295">
        <v>3413.8</v>
      </c>
      <c r="F21" s="295">
        <f>'Переработка компаний'!F6</f>
        <v>3408.2</v>
      </c>
      <c r="G21" s="295">
        <f>'Переработка компаний'!G6</f>
        <v>3828.3</v>
      </c>
    </row>
    <row r="22" spans="1:7">
      <c r="A22" s="59" t="s">
        <v>1032</v>
      </c>
      <c r="B22" s="295">
        <v>37.5</v>
      </c>
      <c r="C22" s="295">
        <v>38.1</v>
      </c>
      <c r="D22" s="295">
        <v>35.799999999999997</v>
      </c>
      <c r="E22" s="295">
        <v>30.9</v>
      </c>
      <c r="F22" s="295">
        <f>'Переработка компаний'!F7</f>
        <v>24.2</v>
      </c>
      <c r="G22" s="295">
        <f>'Переработка компаний'!G7</f>
        <v>26.2</v>
      </c>
    </row>
    <row r="23" spans="1:7" ht="12.75" customHeight="1">
      <c r="A23" s="59" t="s">
        <v>1033</v>
      </c>
      <c r="B23" s="295">
        <v>4880.7</v>
      </c>
      <c r="C23" s="295">
        <v>5325.1</v>
      </c>
      <c r="D23" s="295">
        <v>5537.6</v>
      </c>
      <c r="E23" s="295">
        <v>4104.1000000000004</v>
      </c>
      <c r="F23" s="295">
        <f>'Переработка компаний'!F8+'Переработка компаний'!F22</f>
        <v>2806.6</v>
      </c>
      <c r="G23" s="295">
        <f>'Переработка компаний'!G8+'Переработка компаний'!G22</f>
        <v>3119.3</v>
      </c>
    </row>
    <row r="24" spans="1:7">
      <c r="A24" s="59" t="s">
        <v>1034</v>
      </c>
      <c r="B24" s="295">
        <v>3125.7</v>
      </c>
      <c r="C24" s="295">
        <v>7218.8</v>
      </c>
      <c r="D24" s="295">
        <v>7518.7</v>
      </c>
      <c r="E24" s="295">
        <v>7606.2</v>
      </c>
      <c r="F24" s="295">
        <f>'Переработка компаний'!F9+'Переработка компаний'!F23</f>
        <v>8648.7999999999993</v>
      </c>
      <c r="G24" s="295">
        <f>'Переработка компаний'!G9+'Переработка компаний'!G23</f>
        <v>9368.7999999999993</v>
      </c>
    </row>
    <row r="25" spans="1:7">
      <c r="A25" s="59" t="s">
        <v>1035</v>
      </c>
      <c r="B25" s="295">
        <v>236</v>
      </c>
      <c r="C25" s="295">
        <v>1755</v>
      </c>
      <c r="D25" s="295">
        <v>1735</v>
      </c>
      <c r="E25" s="295">
        <v>1914.2</v>
      </c>
      <c r="F25" s="295">
        <f>'Переработка компаний'!F24</f>
        <v>2129.9</v>
      </c>
      <c r="G25" s="295">
        <f>'Переработка компаний'!G24</f>
        <v>1620</v>
      </c>
    </row>
    <row r="26" spans="1:7">
      <c r="A26" s="59" t="s">
        <v>1036</v>
      </c>
      <c r="B26" s="295">
        <v>2954.8</v>
      </c>
      <c r="C26" s="295">
        <v>9056.9</v>
      </c>
      <c r="D26" s="295">
        <v>9510.7000000000007</v>
      </c>
      <c r="E26" s="295">
        <v>10406.6</v>
      </c>
      <c r="F26" s="295">
        <f>'Переработка компаний'!F10+'Переработка компаний'!F25</f>
        <v>11214.2</v>
      </c>
      <c r="G26" s="295">
        <f>'Переработка компаний'!G10+'Переработка компаний'!G25</f>
        <v>12830.900000000001</v>
      </c>
    </row>
    <row r="27" spans="1:7">
      <c r="A27" s="59" t="s">
        <v>1037</v>
      </c>
      <c r="B27" s="295">
        <v>327.9</v>
      </c>
      <c r="C27" s="295">
        <v>1790.2</v>
      </c>
      <c r="D27" s="295">
        <v>1944.2</v>
      </c>
      <c r="E27" s="295">
        <v>1967.3</v>
      </c>
      <c r="F27" s="295">
        <f>'Переработка компаний'!F11+'Переработка компаний'!F26</f>
        <v>2276</v>
      </c>
      <c r="G27" s="295">
        <f>'Переработка компаний'!G11+'Переработка компаний'!G26</f>
        <v>2598.1</v>
      </c>
    </row>
    <row r="28" spans="1:7">
      <c r="A28" s="59" t="s">
        <v>1038</v>
      </c>
      <c r="B28" s="295">
        <v>1077.8</v>
      </c>
      <c r="C28" s="295">
        <v>4886.5</v>
      </c>
      <c r="D28" s="295">
        <v>5653.9</v>
      </c>
      <c r="E28" s="295">
        <v>6138.5</v>
      </c>
      <c r="F28" s="295">
        <f>'Переработка компаний'!F12+'Переработка компаний'!F27</f>
        <v>6355.5999999999995</v>
      </c>
      <c r="G28" s="295">
        <f>'Переработка компаний'!G12+'Переработка компаний'!G27</f>
        <v>8176.4</v>
      </c>
    </row>
    <row r="29" spans="1:7">
      <c r="A29" s="59" t="s">
        <v>1039</v>
      </c>
      <c r="B29" s="295">
        <v>53</v>
      </c>
      <c r="C29" s="295">
        <v>327</v>
      </c>
      <c r="D29" s="295">
        <v>346.4</v>
      </c>
      <c r="E29" s="295">
        <v>328.3</v>
      </c>
      <c r="F29" s="295">
        <f>'Переработка компаний'!F28</f>
        <v>371.4</v>
      </c>
      <c r="G29" s="295">
        <f>'Переработка компаний'!G28</f>
        <v>367.1</v>
      </c>
    </row>
    <row r="30" spans="1:7">
      <c r="A30" s="59" t="s">
        <v>503</v>
      </c>
      <c r="B30" s="295">
        <v>5370.3</v>
      </c>
      <c r="C30" s="295">
        <v>5353.5</v>
      </c>
      <c r="D30" s="295">
        <v>5432.3</v>
      </c>
      <c r="E30" s="295">
        <v>5385.9</v>
      </c>
      <c r="F30" s="295">
        <f>'Переработка компаний'!F13+'Переработка компаний'!F29</f>
        <v>4404.6000000000004</v>
      </c>
      <c r="G30" s="295">
        <f>'Переработка компаний'!G13+'Переработка компаний'!G29</f>
        <v>5250.4</v>
      </c>
    </row>
    <row r="31" spans="1:7">
      <c r="A31" s="59" t="s">
        <v>504</v>
      </c>
      <c r="B31" s="295">
        <v>1636.4</v>
      </c>
      <c r="C31" s="295">
        <v>3838.1</v>
      </c>
      <c r="D31" s="295">
        <v>4874</v>
      </c>
      <c r="E31" s="295">
        <v>5037.8999999999996</v>
      </c>
      <c r="F31" s="295">
        <f>'Переработка компаний'!F14</f>
        <v>4892.6000000000004</v>
      </c>
      <c r="G31" s="295">
        <f>'Переработка компаний'!G14</f>
        <v>4856.1000000000004</v>
      </c>
    </row>
    <row r="32" spans="1:7">
      <c r="A32" s="59" t="s">
        <v>505</v>
      </c>
      <c r="B32" s="295">
        <v>3.1</v>
      </c>
      <c r="C32" s="295">
        <v>3</v>
      </c>
      <c r="D32" s="295">
        <v>2.8</v>
      </c>
      <c r="E32" s="295">
        <v>3</v>
      </c>
      <c r="F32" s="295">
        <f>'Переработка компаний'!F15</f>
        <v>3</v>
      </c>
      <c r="G32" s="295">
        <f>'Переработка компаний'!G15</f>
        <v>3.3</v>
      </c>
    </row>
    <row r="33" spans="1:7">
      <c r="A33" s="59" t="s">
        <v>506</v>
      </c>
      <c r="B33" s="295">
        <v>3006.6</v>
      </c>
      <c r="C33" s="295">
        <v>3896.7</v>
      </c>
      <c r="D33" s="295">
        <v>2648.9</v>
      </c>
      <c r="E33" s="295">
        <v>1488.5</v>
      </c>
      <c r="F33" s="295">
        <f>'Переработка компаний'!F16</f>
        <v>454</v>
      </c>
      <c r="G33" s="295">
        <f>'Переработка компаний'!G16</f>
        <v>491.7</v>
      </c>
    </row>
    <row r="34" spans="1:7">
      <c r="A34" s="59" t="s">
        <v>507</v>
      </c>
      <c r="B34" s="295">
        <v>108.1</v>
      </c>
      <c r="C34" s="295">
        <v>223.2</v>
      </c>
      <c r="D34" s="295">
        <v>238.4</v>
      </c>
      <c r="E34" s="295">
        <v>327.2</v>
      </c>
      <c r="F34" s="295">
        <f>'Переработка компаний'!F17</f>
        <v>362.1</v>
      </c>
      <c r="G34" s="295">
        <f>'Переработка компаний'!G17</f>
        <v>384.1</v>
      </c>
    </row>
    <row r="35" spans="1:7">
      <c r="A35" s="59" t="s">
        <v>508</v>
      </c>
      <c r="B35" s="295">
        <v>33.6</v>
      </c>
      <c r="C35" s="295">
        <v>34.5</v>
      </c>
      <c r="D35" s="295">
        <v>35.4</v>
      </c>
      <c r="E35" s="295">
        <v>30.4</v>
      </c>
      <c r="F35" s="295">
        <f>'Переработка компаний'!F18</f>
        <v>21.1</v>
      </c>
      <c r="G35" s="295">
        <f>'Переработка компаний'!G18</f>
        <v>31.6</v>
      </c>
    </row>
    <row r="36" spans="1:7">
      <c r="A36" s="59" t="s">
        <v>509</v>
      </c>
      <c r="B36" s="295">
        <v>614</v>
      </c>
      <c r="C36" s="295">
        <v>657.1</v>
      </c>
      <c r="D36" s="295">
        <v>0</v>
      </c>
      <c r="E36" s="295">
        <v>0</v>
      </c>
      <c r="F36" s="295">
        <f>'Переработка компаний'!F19</f>
        <v>419</v>
      </c>
      <c r="G36" s="295">
        <f>'Переработка компаний'!G19</f>
        <v>663.2</v>
      </c>
    </row>
    <row r="37" spans="1:7" ht="13.8" thickBot="1">
      <c r="A37" s="193" t="s">
        <v>510</v>
      </c>
      <c r="B37" s="303">
        <v>75.099999999999994</v>
      </c>
      <c r="C37" s="303">
        <v>92.6</v>
      </c>
      <c r="D37" s="303">
        <v>102.6</v>
      </c>
      <c r="E37" s="303">
        <v>111</v>
      </c>
      <c r="F37" s="303">
        <f>'Переработка компаний'!F20</f>
        <v>35.200000000000003</v>
      </c>
      <c r="G37" s="303">
        <f>'Переработка компаний'!G20</f>
        <v>151.5</v>
      </c>
    </row>
    <row r="38" spans="1:7" ht="13.8" thickTop="1">
      <c r="A38" s="28"/>
      <c r="B38" s="28"/>
      <c r="C38" s="28"/>
      <c r="D38" s="28"/>
      <c r="E38" s="28"/>
      <c r="F38" s="28"/>
      <c r="G38" s="28"/>
    </row>
    <row r="39" spans="1:7">
      <c r="A39" s="487" t="s">
        <v>776</v>
      </c>
      <c r="B39" s="487"/>
      <c r="C39" s="487"/>
      <c r="D39" s="487"/>
      <c r="E39" s="487"/>
      <c r="F39" s="487"/>
      <c r="G39" s="22"/>
    </row>
  </sheetData>
  <sheetProtection password="CAF1" sheet="1" formatCells="0" formatColumns="0" formatRows="0" insertColumns="0" insertRows="0" insertHyperlinks="0" deleteColumns="0" deleteRows="0" sort="0" autoFilter="0" pivotTables="0"/>
  <mergeCells count="10">
    <mergeCell ref="A39:F39"/>
    <mergeCell ref="A18:G18"/>
    <mergeCell ref="A2:G2"/>
    <mergeCell ref="B19:G19"/>
    <mergeCell ref="B3:G3"/>
    <mergeCell ref="A5:G5"/>
    <mergeCell ref="A9:G9"/>
    <mergeCell ref="A15:G15"/>
    <mergeCell ref="A16:G16"/>
    <mergeCell ref="A17:G17"/>
  </mergeCells>
  <phoneticPr fontId="27" type="noConversion"/>
  <hyperlinks>
    <hyperlink ref="A39:F39" location="Титул!A1" display="Вернуться к Содержанию"/>
  </hyperlinks>
  <pageMargins left="0.25" right="0.25" top="0.75" bottom="0.75" header="0.3" footer="0.3"/>
  <pageSetup paperSize="9" firstPageNumber="36" orientation="portrait" useFirstPageNumber="1" r:id="rId1"/>
  <headerFooter alignWithMargins="0">
    <oddHeader>&amp;L&amp;"Times New Roman,полужирный"Газпром в цифрах 2006-2010 гг.&amp;R&amp;"Times New Roman,полужирный"Справочник</oddHeader>
    <oddFooter>&amp;C&amp;P</oddFooter>
  </headerFooter>
</worksheet>
</file>

<file path=xl/worksheets/sheet23.xml><?xml version="1.0" encoding="utf-8"?>
<worksheet xmlns="http://schemas.openxmlformats.org/spreadsheetml/2006/main" xmlns:r="http://schemas.openxmlformats.org/officeDocument/2006/relationships">
  <sheetPr codeName="Лист23"/>
  <dimension ref="A1:G53"/>
  <sheetViews>
    <sheetView zoomScaleNormal="100" zoomScaleSheetLayoutView="100" workbookViewId="0"/>
  </sheetViews>
  <sheetFormatPr defaultColWidth="0" defaultRowHeight="13.2" zeroHeight="1" outlineLevelCol="1"/>
  <cols>
    <col min="1" max="1" width="53.88671875" style="2" customWidth="1"/>
    <col min="2" max="2" width="0.44140625" style="2" hidden="1" customWidth="1" outlineLevel="1"/>
    <col min="3" max="3" width="9.33203125" style="2" bestFit="1" customWidth="1" collapsed="1"/>
    <col min="4" max="4" width="9.33203125" style="2" bestFit="1" customWidth="1"/>
    <col min="5" max="6" width="9.5546875" style="2" bestFit="1" customWidth="1"/>
    <col min="7" max="7" width="9.5546875" style="2" customWidth="1"/>
    <col min="8" max="16384" width="0" style="2" hidden="1"/>
  </cols>
  <sheetData>
    <row r="1" spans="1:7" ht="15.6">
      <c r="A1" s="27" t="s">
        <v>1041</v>
      </c>
      <c r="B1" s="304"/>
      <c r="C1" s="304"/>
      <c r="D1" s="304"/>
      <c r="E1" s="304"/>
      <c r="F1" s="304"/>
      <c r="G1" s="304"/>
    </row>
    <row r="2" spans="1:7" ht="30" customHeight="1">
      <c r="A2" s="493" t="s">
        <v>588</v>
      </c>
      <c r="B2" s="493"/>
      <c r="C2" s="493"/>
      <c r="D2" s="493"/>
      <c r="E2" s="493"/>
      <c r="F2" s="493"/>
      <c r="G2" s="493"/>
    </row>
    <row r="3" spans="1:7" ht="13.2" customHeight="1">
      <c r="A3" s="125"/>
      <c r="B3" s="488" t="s">
        <v>1027</v>
      </c>
      <c r="C3" s="488"/>
      <c r="D3" s="488"/>
      <c r="E3" s="488"/>
      <c r="F3" s="488"/>
      <c r="G3" s="488"/>
    </row>
    <row r="4" spans="1:7">
      <c r="A4" s="125"/>
      <c r="B4" s="24">
        <v>2005</v>
      </c>
      <c r="C4" s="448">
        <v>2006</v>
      </c>
      <c r="D4" s="448">
        <v>2007</v>
      </c>
      <c r="E4" s="448">
        <v>2008</v>
      </c>
      <c r="F4" s="448">
        <v>2009</v>
      </c>
      <c r="G4" s="448">
        <v>2010</v>
      </c>
    </row>
    <row r="5" spans="1:7">
      <c r="A5" s="39" t="s">
        <v>511</v>
      </c>
      <c r="B5" s="548"/>
      <c r="C5" s="548"/>
      <c r="D5" s="548"/>
      <c r="E5" s="548"/>
      <c r="F5" s="548"/>
      <c r="G5" s="39"/>
    </row>
    <row r="6" spans="1:7">
      <c r="A6" s="238" t="s">
        <v>1031</v>
      </c>
      <c r="B6" s="110">
        <v>3728.7</v>
      </c>
      <c r="C6" s="85">
        <v>3792.8</v>
      </c>
      <c r="D6" s="85">
        <v>3653.2</v>
      </c>
      <c r="E6" s="305">
        <v>3413.8</v>
      </c>
      <c r="F6" s="85">
        <v>3408.2</v>
      </c>
      <c r="G6" s="306">
        <v>3828.3</v>
      </c>
    </row>
    <row r="7" spans="1:7">
      <c r="A7" s="238" t="s">
        <v>1032</v>
      </c>
      <c r="B7" s="110">
        <v>26.5</v>
      </c>
      <c r="C7" s="85">
        <v>26</v>
      </c>
      <c r="D7" s="85">
        <v>26.5</v>
      </c>
      <c r="E7" s="305">
        <v>26.5</v>
      </c>
      <c r="F7" s="85">
        <v>24.2</v>
      </c>
      <c r="G7" s="306">
        <v>26.2</v>
      </c>
    </row>
    <row r="8" spans="1:7">
      <c r="A8" s="238" t="s">
        <v>1033</v>
      </c>
      <c r="B8" s="110">
        <v>1881.9</v>
      </c>
      <c r="C8" s="85">
        <v>1837.7</v>
      </c>
      <c r="D8" s="85">
        <v>2109.8000000000002</v>
      </c>
      <c r="E8" s="305">
        <v>2037.2</v>
      </c>
      <c r="F8" s="85">
        <v>2025.2</v>
      </c>
      <c r="G8" s="306">
        <v>2311.6</v>
      </c>
    </row>
    <row r="9" spans="1:7">
      <c r="A9" s="238" t="s">
        <v>1034</v>
      </c>
      <c r="B9" s="110">
        <v>2242.6999999999998</v>
      </c>
      <c r="C9" s="85">
        <v>2158.8000000000002</v>
      </c>
      <c r="D9" s="85">
        <v>2141.8000000000002</v>
      </c>
      <c r="E9" s="305">
        <v>2132.3000000000002</v>
      </c>
      <c r="F9" s="85">
        <v>2018.1</v>
      </c>
      <c r="G9" s="306">
        <v>2114.3000000000002</v>
      </c>
    </row>
    <row r="10" spans="1:7">
      <c r="A10" s="238" t="s">
        <v>1036</v>
      </c>
      <c r="B10" s="110">
        <v>1640.8</v>
      </c>
      <c r="C10" s="85">
        <v>1442.9</v>
      </c>
      <c r="D10" s="85">
        <v>1429.3</v>
      </c>
      <c r="E10" s="305">
        <v>1394.1</v>
      </c>
      <c r="F10" s="85">
        <v>1276.5</v>
      </c>
      <c r="G10" s="306">
        <v>1366.2</v>
      </c>
    </row>
    <row r="11" spans="1:7">
      <c r="A11" s="238" t="s">
        <v>1037</v>
      </c>
      <c r="B11" s="110">
        <v>50.9</v>
      </c>
      <c r="C11" s="85">
        <v>150.19999999999999</v>
      </c>
      <c r="D11" s="85">
        <v>133.9</v>
      </c>
      <c r="E11" s="305">
        <v>161.4</v>
      </c>
      <c r="F11" s="85">
        <v>165.8</v>
      </c>
      <c r="G11" s="306">
        <v>165.7</v>
      </c>
    </row>
    <row r="12" spans="1:7">
      <c r="A12" s="238" t="s">
        <v>1038</v>
      </c>
      <c r="B12" s="110">
        <v>380.8</v>
      </c>
      <c r="C12" s="85">
        <v>380.5</v>
      </c>
      <c r="D12" s="85">
        <v>394.2</v>
      </c>
      <c r="E12" s="305">
        <v>389.7</v>
      </c>
      <c r="F12" s="85">
        <v>347.9</v>
      </c>
      <c r="G12" s="306">
        <v>377.9</v>
      </c>
    </row>
    <row r="13" spans="1:7">
      <c r="A13" s="238" t="s">
        <v>503</v>
      </c>
      <c r="B13" s="110">
        <v>5361.8</v>
      </c>
      <c r="C13" s="85">
        <v>5296.3</v>
      </c>
      <c r="D13" s="85">
        <v>5370.1</v>
      </c>
      <c r="E13" s="305">
        <v>5319.8</v>
      </c>
      <c r="F13" s="85">
        <v>4322.1000000000004</v>
      </c>
      <c r="G13" s="306">
        <v>5154.8999999999996</v>
      </c>
    </row>
    <row r="14" spans="1:7">
      <c r="A14" s="238" t="s">
        <v>504</v>
      </c>
      <c r="B14" s="110">
        <v>1636.4</v>
      </c>
      <c r="C14" s="85">
        <v>3838.1</v>
      </c>
      <c r="D14" s="85">
        <v>4874</v>
      </c>
      <c r="E14" s="305">
        <v>5037.8999999999996</v>
      </c>
      <c r="F14" s="85">
        <v>4892.6000000000004</v>
      </c>
      <c r="G14" s="306">
        <v>4856.1000000000004</v>
      </c>
    </row>
    <row r="15" spans="1:7">
      <c r="A15" s="238" t="s">
        <v>505</v>
      </c>
      <c r="B15" s="110">
        <v>3.1</v>
      </c>
      <c r="C15" s="85">
        <v>3</v>
      </c>
      <c r="D15" s="85">
        <v>2.8</v>
      </c>
      <c r="E15" s="305">
        <v>3</v>
      </c>
      <c r="F15" s="85">
        <v>3</v>
      </c>
      <c r="G15" s="306">
        <v>3.3</v>
      </c>
    </row>
    <row r="16" spans="1:7">
      <c r="A16" s="238" t="s">
        <v>512</v>
      </c>
      <c r="B16" s="110">
        <v>541.6</v>
      </c>
      <c r="C16" s="85">
        <v>881.4</v>
      </c>
      <c r="D16" s="85">
        <v>587.5</v>
      </c>
      <c r="E16" s="305">
        <v>554.6</v>
      </c>
      <c r="F16" s="85">
        <v>454</v>
      </c>
      <c r="G16" s="306">
        <v>491.7</v>
      </c>
    </row>
    <row r="17" spans="1:7">
      <c r="A17" s="238" t="s">
        <v>507</v>
      </c>
      <c r="B17" s="110">
        <v>108.1</v>
      </c>
      <c r="C17" s="85">
        <v>223.2</v>
      </c>
      <c r="D17" s="85">
        <v>238.4</v>
      </c>
      <c r="E17" s="305">
        <v>327.2</v>
      </c>
      <c r="F17" s="85">
        <v>362.1</v>
      </c>
      <c r="G17" s="306">
        <v>384.1</v>
      </c>
    </row>
    <row r="18" spans="1:7">
      <c r="A18" s="238" t="s">
        <v>508</v>
      </c>
      <c r="B18" s="110">
        <v>33.6</v>
      </c>
      <c r="C18" s="85">
        <v>34.5</v>
      </c>
      <c r="D18" s="85">
        <v>35.4</v>
      </c>
      <c r="E18" s="305">
        <v>30.4</v>
      </c>
      <c r="F18" s="85">
        <v>21.1</v>
      </c>
      <c r="G18" s="306">
        <v>31.6</v>
      </c>
    </row>
    <row r="19" spans="1:7">
      <c r="A19" s="238" t="s">
        <v>509</v>
      </c>
      <c r="B19" s="110">
        <v>614</v>
      </c>
      <c r="C19" s="85">
        <v>657.1</v>
      </c>
      <c r="D19" s="307">
        <v>0</v>
      </c>
      <c r="E19" s="307">
        <v>0</v>
      </c>
      <c r="F19" s="85">
        <v>419</v>
      </c>
      <c r="G19" s="306">
        <v>663.2</v>
      </c>
    </row>
    <row r="20" spans="1:7" ht="12.75" customHeight="1" thickBot="1">
      <c r="A20" s="308" t="s">
        <v>513</v>
      </c>
      <c r="B20" s="309">
        <v>75.099999999999994</v>
      </c>
      <c r="C20" s="106">
        <v>92.6</v>
      </c>
      <c r="D20" s="106">
        <v>102.6</v>
      </c>
      <c r="E20" s="310">
        <v>111</v>
      </c>
      <c r="F20" s="106">
        <v>35.200000000000003</v>
      </c>
      <c r="G20" s="311">
        <v>151.5</v>
      </c>
    </row>
    <row r="21" spans="1:7" ht="13.8" thickTop="1">
      <c r="A21" s="575" t="s">
        <v>250</v>
      </c>
      <c r="B21" s="575"/>
      <c r="C21" s="575"/>
      <c r="D21" s="575"/>
      <c r="E21" s="575"/>
      <c r="F21" s="575"/>
      <c r="G21" s="239"/>
    </row>
    <row r="22" spans="1:7">
      <c r="A22" s="238" t="s">
        <v>1033</v>
      </c>
      <c r="B22" s="110">
        <v>107.8</v>
      </c>
      <c r="C22" s="85">
        <v>544.6</v>
      </c>
      <c r="D22" s="85">
        <v>566.1</v>
      </c>
      <c r="E22" s="85">
        <v>563.79999999999995</v>
      </c>
      <c r="F22" s="306">
        <v>781.4</v>
      </c>
      <c r="G22" s="306">
        <v>807.7</v>
      </c>
    </row>
    <row r="23" spans="1:7">
      <c r="A23" s="238" t="s">
        <v>1034</v>
      </c>
      <c r="B23" s="110">
        <v>883</v>
      </c>
      <c r="C23" s="85">
        <v>5060</v>
      </c>
      <c r="D23" s="85">
        <v>5376.9</v>
      </c>
      <c r="E23" s="85">
        <v>5473.9</v>
      </c>
      <c r="F23" s="306">
        <v>6630.7</v>
      </c>
      <c r="G23" s="306">
        <v>7254.5</v>
      </c>
    </row>
    <row r="24" spans="1:7" ht="12.75" customHeight="1">
      <c r="A24" s="238" t="s">
        <v>1035</v>
      </c>
      <c r="B24" s="110">
        <v>236</v>
      </c>
      <c r="C24" s="85">
        <v>1755</v>
      </c>
      <c r="D24" s="85">
        <v>1735</v>
      </c>
      <c r="E24" s="85">
        <v>1914.2</v>
      </c>
      <c r="F24" s="306">
        <v>2129.9</v>
      </c>
      <c r="G24" s="306">
        <f>ROUNDDOWN(1620.05,1)</f>
        <v>1620</v>
      </c>
    </row>
    <row r="25" spans="1:7">
      <c r="A25" s="238" t="s">
        <v>1036</v>
      </c>
      <c r="B25" s="110">
        <v>1314</v>
      </c>
      <c r="C25" s="85">
        <v>7614</v>
      </c>
      <c r="D25" s="85">
        <v>8081.4</v>
      </c>
      <c r="E25" s="85">
        <v>9012.5</v>
      </c>
      <c r="F25" s="306">
        <v>9937.7000000000007</v>
      </c>
      <c r="G25" s="306">
        <v>11464.7</v>
      </c>
    </row>
    <row r="26" spans="1:7">
      <c r="A26" s="238" t="s">
        <v>1037</v>
      </c>
      <c r="B26" s="110">
        <v>277</v>
      </c>
      <c r="C26" s="85">
        <v>1640</v>
      </c>
      <c r="D26" s="85">
        <v>1810.3</v>
      </c>
      <c r="E26" s="85">
        <v>1805.9</v>
      </c>
      <c r="F26" s="306">
        <v>2110.1999999999998</v>
      </c>
      <c r="G26" s="306">
        <v>2432.4</v>
      </c>
    </row>
    <row r="27" spans="1:7">
      <c r="A27" s="238" t="s">
        <v>1038</v>
      </c>
      <c r="B27" s="110">
        <v>697</v>
      </c>
      <c r="C27" s="85">
        <v>4506</v>
      </c>
      <c r="D27" s="85">
        <v>5259.7</v>
      </c>
      <c r="E27" s="85">
        <v>5748.8</v>
      </c>
      <c r="F27" s="306">
        <v>6007.7</v>
      </c>
      <c r="G27" s="306">
        <v>7798.5</v>
      </c>
    </row>
    <row r="28" spans="1:7">
      <c r="A28" s="238" t="s">
        <v>1039</v>
      </c>
      <c r="B28" s="110">
        <v>53</v>
      </c>
      <c r="C28" s="85">
        <v>327</v>
      </c>
      <c r="D28" s="85">
        <v>346.4</v>
      </c>
      <c r="E28" s="85">
        <v>328.3</v>
      </c>
      <c r="F28" s="306">
        <v>371.4</v>
      </c>
      <c r="G28" s="306">
        <v>367.1</v>
      </c>
    </row>
    <row r="29" spans="1:7">
      <c r="A29" s="238" t="s">
        <v>514</v>
      </c>
      <c r="B29" s="110">
        <v>8.5</v>
      </c>
      <c r="C29" s="85">
        <v>57.2</v>
      </c>
      <c r="D29" s="85">
        <v>62.2</v>
      </c>
      <c r="E29" s="85">
        <v>66.099999999999994</v>
      </c>
      <c r="F29" s="306">
        <v>82.5</v>
      </c>
      <c r="G29" s="306">
        <v>95.5</v>
      </c>
    </row>
    <row r="30" spans="1:7">
      <c r="A30" s="574" t="s">
        <v>413</v>
      </c>
      <c r="B30" s="574"/>
      <c r="C30" s="574"/>
      <c r="D30" s="574"/>
      <c r="E30" s="574"/>
      <c r="F30" s="574"/>
      <c r="G30" s="312"/>
    </row>
    <row r="31" spans="1:7">
      <c r="A31" s="313" t="s">
        <v>1033</v>
      </c>
      <c r="B31" s="314">
        <v>0</v>
      </c>
      <c r="C31" s="315">
        <v>0</v>
      </c>
      <c r="D31" s="315">
        <v>0</v>
      </c>
      <c r="E31" s="315">
        <v>0</v>
      </c>
      <c r="F31" s="299">
        <v>105.4</v>
      </c>
      <c r="G31" s="299">
        <v>110.5</v>
      </c>
    </row>
    <row r="32" spans="1:7">
      <c r="A32" s="313" t="s">
        <v>1034</v>
      </c>
      <c r="B32" s="314">
        <v>0</v>
      </c>
      <c r="C32" s="315">
        <v>0</v>
      </c>
      <c r="D32" s="315">
        <v>0</v>
      </c>
      <c r="E32" s="315">
        <v>0</v>
      </c>
      <c r="F32" s="299">
        <v>502.8</v>
      </c>
      <c r="G32" s="299">
        <v>554.4</v>
      </c>
    </row>
    <row r="33" spans="1:7">
      <c r="A33" s="313" t="s">
        <v>1035</v>
      </c>
      <c r="B33" s="314">
        <v>0</v>
      </c>
      <c r="C33" s="315">
        <v>0</v>
      </c>
      <c r="D33" s="315">
        <v>0</v>
      </c>
      <c r="E33" s="315">
        <v>0</v>
      </c>
      <c r="F33" s="299">
        <f>ROUND(110.76,1)</f>
        <v>110.8</v>
      </c>
      <c r="G33" s="299">
        <f>ROUND(133.74,1)</f>
        <v>133.69999999999999</v>
      </c>
    </row>
    <row r="34" spans="1:7">
      <c r="A34" s="313" t="s">
        <v>1036</v>
      </c>
      <c r="B34" s="314">
        <v>0</v>
      </c>
      <c r="C34" s="315">
        <v>0</v>
      </c>
      <c r="D34" s="315">
        <v>0</v>
      </c>
      <c r="E34" s="315">
        <v>0</v>
      </c>
      <c r="F34" s="299">
        <v>836</v>
      </c>
      <c r="G34" s="299">
        <v>898.1</v>
      </c>
    </row>
    <row r="35" spans="1:7">
      <c r="A35" s="313" t="s">
        <v>1037</v>
      </c>
      <c r="B35" s="314">
        <v>0</v>
      </c>
      <c r="C35" s="315">
        <v>0</v>
      </c>
      <c r="D35" s="315">
        <v>0</v>
      </c>
      <c r="E35" s="315">
        <v>0</v>
      </c>
      <c r="F35" s="299">
        <v>48.3</v>
      </c>
      <c r="G35" s="299">
        <v>68.2</v>
      </c>
    </row>
    <row r="36" spans="1:7" ht="13.8" thickBot="1">
      <c r="A36" s="316" t="s">
        <v>1038</v>
      </c>
      <c r="B36" s="314">
        <v>0</v>
      </c>
      <c r="C36" s="315">
        <v>0</v>
      </c>
      <c r="D36" s="315">
        <v>0</v>
      </c>
      <c r="E36" s="315">
        <v>0</v>
      </c>
      <c r="F36" s="299">
        <v>460.3</v>
      </c>
      <c r="G36" s="299">
        <v>528.5</v>
      </c>
    </row>
    <row r="37" spans="1:7" ht="13.8" thickTop="1">
      <c r="A37" s="317" t="s">
        <v>414</v>
      </c>
      <c r="B37" s="146"/>
      <c r="C37" s="146"/>
      <c r="D37" s="146"/>
      <c r="E37" s="146"/>
      <c r="F37" s="146"/>
      <c r="G37" s="146"/>
    </row>
    <row r="38" spans="1:7">
      <c r="A38" s="36" t="s">
        <v>1032</v>
      </c>
      <c r="B38" s="110">
        <v>11</v>
      </c>
      <c r="C38" s="85">
        <v>12.1</v>
      </c>
      <c r="D38" s="85">
        <v>9.3000000000000007</v>
      </c>
      <c r="E38" s="85">
        <v>4.4000000000000004</v>
      </c>
      <c r="F38" s="315">
        <v>0</v>
      </c>
      <c r="G38" s="315">
        <v>0</v>
      </c>
    </row>
    <row r="39" spans="1:7">
      <c r="A39" s="36" t="s">
        <v>1033</v>
      </c>
      <c r="B39" s="110">
        <v>2891</v>
      </c>
      <c r="C39" s="85">
        <v>2942.8</v>
      </c>
      <c r="D39" s="85">
        <v>2861.7</v>
      </c>
      <c r="E39" s="85">
        <v>1503.1</v>
      </c>
      <c r="F39" s="315">
        <v>0</v>
      </c>
      <c r="G39" s="315">
        <v>0</v>
      </c>
    </row>
    <row r="40" spans="1:7">
      <c r="A40" s="36" t="s">
        <v>512</v>
      </c>
      <c r="B40" s="110">
        <v>2465</v>
      </c>
      <c r="C40" s="85">
        <v>3015.3</v>
      </c>
      <c r="D40" s="85">
        <v>2061.4</v>
      </c>
      <c r="E40" s="85">
        <v>933.9</v>
      </c>
      <c r="F40" s="315">
        <v>0</v>
      </c>
      <c r="G40" s="315">
        <v>0</v>
      </c>
    </row>
    <row r="41" spans="1:7">
      <c r="A41" s="36" t="s">
        <v>515</v>
      </c>
      <c r="B41" s="110">
        <v>562</v>
      </c>
      <c r="C41" s="85">
        <v>613</v>
      </c>
      <c r="D41" s="85">
        <v>677</v>
      </c>
      <c r="E41" s="85">
        <v>284</v>
      </c>
      <c r="F41" s="315">
        <v>0</v>
      </c>
      <c r="G41" s="315">
        <v>0</v>
      </c>
    </row>
    <row r="42" spans="1:7">
      <c r="A42" s="36" t="s">
        <v>516</v>
      </c>
      <c r="B42" s="110">
        <v>1848</v>
      </c>
      <c r="C42" s="85">
        <v>2122.5</v>
      </c>
      <c r="D42" s="85">
        <v>1997.9</v>
      </c>
      <c r="E42" s="85">
        <v>1096.3</v>
      </c>
      <c r="F42" s="315">
        <v>0</v>
      </c>
      <c r="G42" s="315">
        <v>0</v>
      </c>
    </row>
    <row r="43" spans="1:7">
      <c r="A43" s="36" t="s">
        <v>517</v>
      </c>
      <c r="B43" s="110">
        <v>469</v>
      </c>
      <c r="C43" s="85">
        <v>490</v>
      </c>
      <c r="D43" s="85">
        <v>506</v>
      </c>
      <c r="E43" s="85">
        <v>290</v>
      </c>
      <c r="F43" s="315">
        <v>0</v>
      </c>
      <c r="G43" s="315">
        <v>0</v>
      </c>
    </row>
    <row r="44" spans="1:7">
      <c r="A44" s="36" t="s">
        <v>518</v>
      </c>
      <c r="B44" s="110">
        <v>584</v>
      </c>
      <c r="C44" s="85">
        <v>624</v>
      </c>
      <c r="D44" s="85">
        <v>553.4</v>
      </c>
      <c r="E44" s="85">
        <v>267.89999999999998</v>
      </c>
      <c r="F44" s="315">
        <v>0</v>
      </c>
      <c r="G44" s="315">
        <v>0</v>
      </c>
    </row>
    <row r="45" spans="1:7">
      <c r="A45" s="36" t="s">
        <v>519</v>
      </c>
      <c r="B45" s="110">
        <v>990</v>
      </c>
      <c r="C45" s="85">
        <v>1109</v>
      </c>
      <c r="D45" s="85">
        <v>1134.5999999999999</v>
      </c>
      <c r="E45" s="85">
        <v>544.5</v>
      </c>
      <c r="F45" s="315">
        <v>0</v>
      </c>
      <c r="G45" s="315">
        <v>0</v>
      </c>
    </row>
    <row r="46" spans="1:7">
      <c r="A46" s="36" t="s">
        <v>520</v>
      </c>
      <c r="B46" s="110">
        <v>379</v>
      </c>
      <c r="C46" s="85">
        <v>371.5</v>
      </c>
      <c r="D46" s="85">
        <v>458.4</v>
      </c>
      <c r="E46" s="85">
        <v>243.5</v>
      </c>
      <c r="F46" s="315">
        <v>0</v>
      </c>
      <c r="G46" s="315">
        <v>0</v>
      </c>
    </row>
    <row r="47" spans="1:7">
      <c r="A47" s="36" t="s">
        <v>521</v>
      </c>
      <c r="B47" s="110">
        <v>1482</v>
      </c>
      <c r="C47" s="85">
        <v>1360.4</v>
      </c>
      <c r="D47" s="85">
        <v>1598.1</v>
      </c>
      <c r="E47" s="85">
        <v>1103.4000000000001</v>
      </c>
      <c r="F47" s="315">
        <v>0</v>
      </c>
      <c r="G47" s="315">
        <v>0</v>
      </c>
    </row>
    <row r="48" spans="1:7" ht="13.8" thickBot="1">
      <c r="A48" s="177" t="s">
        <v>522</v>
      </c>
      <c r="B48" s="309">
        <v>13.4</v>
      </c>
      <c r="C48" s="106">
        <v>12.8</v>
      </c>
      <c r="D48" s="106">
        <v>13.6</v>
      </c>
      <c r="E48" s="106">
        <v>6.5</v>
      </c>
      <c r="F48" s="318">
        <v>0</v>
      </c>
      <c r="G48" s="318">
        <v>0</v>
      </c>
    </row>
    <row r="49" spans="1:7" ht="13.8" thickTop="1">
      <c r="A49" s="496" t="s">
        <v>382</v>
      </c>
      <c r="B49" s="496"/>
      <c r="C49" s="496"/>
      <c r="D49" s="496"/>
      <c r="E49" s="496"/>
      <c r="F49" s="496"/>
      <c r="G49" s="496"/>
    </row>
    <row r="50" spans="1:7">
      <c r="A50" s="494" t="s">
        <v>412</v>
      </c>
      <c r="B50" s="494"/>
      <c r="C50" s="494"/>
      <c r="D50" s="494"/>
      <c r="E50" s="494"/>
      <c r="F50" s="494"/>
      <c r="G50" s="494"/>
    </row>
    <row r="51" spans="1:7">
      <c r="A51" s="494" t="s">
        <v>415</v>
      </c>
      <c r="B51" s="494"/>
      <c r="C51" s="494"/>
      <c r="D51" s="494"/>
      <c r="E51" s="494"/>
      <c r="F51" s="494"/>
      <c r="G51" s="494"/>
    </row>
    <row r="52" spans="1:7">
      <c r="A52" s="28"/>
      <c r="B52" s="28"/>
      <c r="C52" s="28"/>
      <c r="D52" s="28"/>
      <c r="E52" s="28"/>
      <c r="F52" s="28"/>
      <c r="G52" s="28"/>
    </row>
    <row r="53" spans="1:7">
      <c r="A53" s="487" t="s">
        <v>776</v>
      </c>
      <c r="B53" s="487"/>
      <c r="C53" s="487"/>
      <c r="D53" s="487"/>
      <c r="E53" s="487"/>
      <c r="F53" s="487"/>
      <c r="G53" s="22"/>
    </row>
  </sheetData>
  <sheetProtection password="CAF1" sheet="1" formatCells="0" formatColumns="0" formatRows="0" insertColumns="0" insertRows="0" insertHyperlinks="0" deleteColumns="0" deleteRows="0" sort="0" autoFilter="0" pivotTables="0"/>
  <mergeCells count="9">
    <mergeCell ref="A2:G2"/>
    <mergeCell ref="B3:G3"/>
    <mergeCell ref="A53:F53"/>
    <mergeCell ref="A30:F30"/>
    <mergeCell ref="B5:F5"/>
    <mergeCell ref="A21:F21"/>
    <mergeCell ref="A49:G49"/>
    <mergeCell ref="A50:G50"/>
    <mergeCell ref="A51:G51"/>
  </mergeCells>
  <phoneticPr fontId="27" type="noConversion"/>
  <hyperlinks>
    <hyperlink ref="A53:F53" location="Титул!A1" display="Вернуться к Содержанию"/>
  </hyperlinks>
  <pageMargins left="0.25" right="0.25" top="0.75" bottom="0.75" header="0.3" footer="0.3"/>
  <pageSetup paperSize="9" firstPageNumber="37" orientation="portrait" useFirstPageNumber="1" r:id="rId1"/>
  <headerFooter alignWithMargins="0">
    <oddHeader>&amp;L&amp;"Times New Roman,полужирный"Газпром в цифрах 2006-2010 гг.&amp;R&amp;"Times New Roman,полужирный"Справочник</oddHeader>
    <oddFooter>&amp;C&amp;P</oddFooter>
  </headerFooter>
</worksheet>
</file>

<file path=xl/worksheets/sheet24.xml><?xml version="1.0" encoding="utf-8"?>
<worksheet xmlns="http://schemas.openxmlformats.org/spreadsheetml/2006/main" xmlns:r="http://schemas.openxmlformats.org/officeDocument/2006/relationships">
  <sheetPr codeName="Лист24"/>
  <dimension ref="A1:F43"/>
  <sheetViews>
    <sheetView zoomScaleNormal="100" zoomScaleSheetLayoutView="100" workbookViewId="0"/>
  </sheetViews>
  <sheetFormatPr defaultColWidth="0" defaultRowHeight="13.2" zeroHeight="1"/>
  <cols>
    <col min="1" max="1" width="17.109375" style="2" customWidth="1"/>
    <col min="2" max="2" width="13.6640625" style="2" customWidth="1"/>
    <col min="3" max="3" width="14.33203125" style="2" customWidth="1"/>
    <col min="4" max="4" width="11.109375" style="2" customWidth="1"/>
    <col min="5" max="5" width="14.5546875" style="2" customWidth="1"/>
    <col min="6" max="6" width="30.109375" style="2" customWidth="1"/>
    <col min="7" max="16384" width="0" style="2" hidden="1"/>
  </cols>
  <sheetData>
    <row r="1" spans="1:6" ht="15.6">
      <c r="A1" s="51" t="s">
        <v>217</v>
      </c>
      <c r="B1" s="28"/>
      <c r="C1" s="28"/>
      <c r="D1" s="28"/>
      <c r="E1" s="28"/>
      <c r="F1" s="28"/>
    </row>
    <row r="2" spans="1:6" ht="22.5" customHeight="1">
      <c r="A2" s="51"/>
      <c r="B2" s="28"/>
      <c r="C2" s="28"/>
      <c r="D2" s="28"/>
      <c r="E2" s="28"/>
      <c r="F2" s="28"/>
    </row>
    <row r="3" spans="1:6" ht="22.5" customHeight="1">
      <c r="A3" s="51"/>
      <c r="B3" s="28"/>
      <c r="C3" s="28"/>
      <c r="D3" s="28"/>
      <c r="E3" s="28"/>
      <c r="F3" s="28"/>
    </row>
    <row r="4" spans="1:6" ht="22.5" customHeight="1">
      <c r="A4" s="51"/>
      <c r="B4" s="28"/>
      <c r="C4" s="28"/>
      <c r="D4" s="28"/>
      <c r="E4" s="28"/>
      <c r="F4" s="28"/>
    </row>
    <row r="5" spans="1:6" ht="22.5" customHeight="1">
      <c r="A5" s="51"/>
      <c r="B5" s="28"/>
      <c r="C5" s="28"/>
      <c r="D5" s="28"/>
      <c r="E5" s="28"/>
      <c r="F5" s="28"/>
    </row>
    <row r="6" spans="1:6" ht="22.5" customHeight="1">
      <c r="A6" s="51"/>
      <c r="B6" s="28"/>
      <c r="C6" s="28"/>
      <c r="D6" s="28"/>
      <c r="E6" s="28"/>
      <c r="F6" s="28"/>
    </row>
    <row r="7" spans="1:6" ht="22.5" customHeight="1">
      <c r="A7" s="51"/>
      <c r="B7" s="28"/>
      <c r="C7" s="28"/>
      <c r="D7" s="28"/>
      <c r="E7" s="28"/>
      <c r="F7" s="28"/>
    </row>
    <row r="8" spans="1:6" ht="22.5" customHeight="1">
      <c r="A8" s="51"/>
      <c r="B8" s="28"/>
      <c r="C8" s="28"/>
      <c r="D8" s="28"/>
      <c r="E8" s="28"/>
      <c r="F8" s="28"/>
    </row>
    <row r="9" spans="1:6" ht="22.5" customHeight="1">
      <c r="A9" s="51"/>
      <c r="B9" s="28"/>
      <c r="C9" s="28"/>
      <c r="D9" s="28"/>
      <c r="E9" s="28"/>
      <c r="F9" s="28"/>
    </row>
    <row r="10" spans="1:6" ht="22.5" customHeight="1">
      <c r="A10" s="51"/>
      <c r="B10" s="28"/>
      <c r="C10" s="28"/>
      <c r="D10" s="28"/>
      <c r="E10" s="28"/>
      <c r="F10" s="28"/>
    </row>
    <row r="11" spans="1:6" ht="22.5" customHeight="1">
      <c r="A11" s="51"/>
      <c r="B11" s="28"/>
      <c r="C11" s="28"/>
      <c r="D11" s="28"/>
      <c r="E11" s="28"/>
      <c r="F11" s="28"/>
    </row>
    <row r="12" spans="1:6" ht="22.5" customHeight="1">
      <c r="A12" s="51"/>
      <c r="B12" s="28"/>
      <c r="C12" s="28"/>
      <c r="D12" s="28"/>
      <c r="E12" s="28"/>
      <c r="F12" s="28"/>
    </row>
    <row r="13" spans="1:6" ht="22.5" customHeight="1">
      <c r="A13" s="51"/>
      <c r="B13" s="28"/>
      <c r="C13" s="28"/>
      <c r="D13" s="28"/>
      <c r="E13" s="28"/>
      <c r="F13" s="28"/>
    </row>
    <row r="14" spans="1:6" ht="22.5" customHeight="1">
      <c r="A14" s="51"/>
      <c r="B14" s="28"/>
      <c r="C14" s="28"/>
      <c r="D14" s="28"/>
      <c r="E14" s="28"/>
      <c r="F14" s="28"/>
    </row>
    <row r="15" spans="1:6" ht="22.5" customHeight="1">
      <c r="A15" s="51"/>
      <c r="B15" s="28"/>
      <c r="C15" s="28"/>
      <c r="D15" s="28"/>
      <c r="E15" s="28"/>
      <c r="F15" s="28"/>
    </row>
    <row r="16" spans="1:6" ht="22.5" customHeight="1">
      <c r="A16" s="51"/>
      <c r="B16" s="28"/>
      <c r="C16" s="28"/>
      <c r="D16" s="28"/>
      <c r="E16" s="28"/>
      <c r="F16" s="28"/>
    </row>
    <row r="17" spans="1:6" ht="22.5" customHeight="1">
      <c r="A17" s="51"/>
      <c r="B17" s="28"/>
      <c r="C17" s="28"/>
      <c r="D17" s="28"/>
      <c r="E17" s="28"/>
      <c r="F17" s="28"/>
    </row>
    <row r="18" spans="1:6" ht="22.5" customHeight="1">
      <c r="A18" s="51"/>
      <c r="B18" s="28"/>
      <c r="C18" s="28"/>
      <c r="D18" s="28"/>
      <c r="E18" s="28"/>
      <c r="F18" s="28"/>
    </row>
    <row r="19" spans="1:6" ht="26.25" customHeight="1">
      <c r="A19" s="227"/>
      <c r="B19" s="28"/>
      <c r="C19" s="28"/>
      <c r="D19" s="28"/>
      <c r="E19" s="28"/>
      <c r="F19" s="28"/>
    </row>
    <row r="20" spans="1:6" ht="27.75" customHeight="1">
      <c r="A20" s="493" t="s">
        <v>218</v>
      </c>
      <c r="B20" s="493"/>
      <c r="C20" s="493"/>
      <c r="D20" s="493"/>
      <c r="E20" s="493"/>
      <c r="F20" s="493"/>
    </row>
    <row r="21" spans="1:6" ht="51">
      <c r="A21" s="25" t="s">
        <v>764</v>
      </c>
      <c r="B21" s="25" t="s">
        <v>219</v>
      </c>
      <c r="C21" s="25" t="s">
        <v>438</v>
      </c>
      <c r="D21" s="25" t="s">
        <v>439</v>
      </c>
      <c r="E21" s="25" t="s">
        <v>416</v>
      </c>
      <c r="F21" s="25" t="s">
        <v>221</v>
      </c>
    </row>
    <row r="22" spans="1:6" ht="13.8" thickBot="1">
      <c r="A22" s="581" t="s">
        <v>222</v>
      </c>
      <c r="B22" s="581"/>
      <c r="C22" s="581"/>
      <c r="D22" s="581"/>
      <c r="E22" s="581"/>
      <c r="F22" s="581"/>
    </row>
    <row r="23" spans="1:6" ht="22.8">
      <c r="A23" s="579" t="s">
        <v>223</v>
      </c>
      <c r="B23" s="560" t="s">
        <v>192</v>
      </c>
      <c r="C23" s="579" t="s">
        <v>224</v>
      </c>
      <c r="D23" s="560" t="s">
        <v>479</v>
      </c>
      <c r="E23" s="205" t="s">
        <v>1091</v>
      </c>
      <c r="F23" s="562" t="s">
        <v>225</v>
      </c>
    </row>
    <row r="24" spans="1:6" ht="21" thickBot="1">
      <c r="A24" s="580"/>
      <c r="B24" s="561"/>
      <c r="C24" s="580"/>
      <c r="D24" s="561"/>
      <c r="E24" s="242" t="s">
        <v>1090</v>
      </c>
      <c r="F24" s="563"/>
    </row>
    <row r="25" spans="1:6" ht="22.8">
      <c r="A25" s="567" t="s">
        <v>226</v>
      </c>
      <c r="B25" s="567" t="s">
        <v>196</v>
      </c>
      <c r="C25" s="567" t="s">
        <v>227</v>
      </c>
      <c r="D25" s="567" t="s">
        <v>228</v>
      </c>
      <c r="E25" s="36" t="s">
        <v>1092</v>
      </c>
      <c r="F25" s="567" t="s">
        <v>229</v>
      </c>
    </row>
    <row r="26" spans="1:6" ht="21" thickBot="1">
      <c r="A26" s="567"/>
      <c r="B26" s="567"/>
      <c r="C26" s="567"/>
      <c r="D26" s="567"/>
      <c r="E26" s="36" t="s">
        <v>1093</v>
      </c>
      <c r="F26" s="567"/>
    </row>
    <row r="27" spans="1:6" ht="31.2" thickBot="1">
      <c r="A27" s="319" t="s">
        <v>230</v>
      </c>
      <c r="B27" s="280" t="s">
        <v>196</v>
      </c>
      <c r="C27" s="319" t="s">
        <v>227</v>
      </c>
      <c r="D27" s="280" t="s">
        <v>231</v>
      </c>
      <c r="E27" s="280" t="s">
        <v>1094</v>
      </c>
      <c r="F27" s="320" t="s">
        <v>232</v>
      </c>
    </row>
    <row r="28" spans="1:6" ht="22.8">
      <c r="A28" s="579" t="s">
        <v>233</v>
      </c>
      <c r="B28" s="560" t="s">
        <v>234</v>
      </c>
      <c r="C28" s="579" t="s">
        <v>235</v>
      </c>
      <c r="D28" s="560" t="s">
        <v>236</v>
      </c>
      <c r="E28" s="205" t="s">
        <v>1095</v>
      </c>
      <c r="F28" s="562" t="s">
        <v>237</v>
      </c>
    </row>
    <row r="29" spans="1:6" ht="41.4" thickBot="1">
      <c r="A29" s="580"/>
      <c r="B29" s="561"/>
      <c r="C29" s="580"/>
      <c r="D29" s="561"/>
      <c r="E29" s="242" t="s">
        <v>1096</v>
      </c>
      <c r="F29" s="563"/>
    </row>
    <row r="30" spans="1:6" ht="58.2" customHeight="1" thickBot="1">
      <c r="A30" s="247" t="s">
        <v>238</v>
      </c>
      <c r="B30" s="242" t="s">
        <v>234</v>
      </c>
      <c r="C30" s="249" t="s">
        <v>239</v>
      </c>
      <c r="D30" s="242" t="s">
        <v>240</v>
      </c>
      <c r="E30" s="242" t="s">
        <v>1097</v>
      </c>
      <c r="F30" s="247" t="s">
        <v>241</v>
      </c>
    </row>
    <row r="31" spans="1:6" ht="61.8" thickBot="1">
      <c r="A31" s="320" t="s">
        <v>242</v>
      </c>
      <c r="B31" s="280" t="s">
        <v>234</v>
      </c>
      <c r="C31" s="319" t="s">
        <v>243</v>
      </c>
      <c r="D31" s="280" t="s">
        <v>240</v>
      </c>
      <c r="E31" s="280" t="s">
        <v>1104</v>
      </c>
      <c r="F31" s="320" t="s">
        <v>244</v>
      </c>
    </row>
    <row r="32" spans="1:6" ht="36" customHeight="1" thickBot="1">
      <c r="A32" s="36" t="s">
        <v>245</v>
      </c>
      <c r="B32" s="321" t="s">
        <v>246</v>
      </c>
      <c r="C32" s="321" t="s">
        <v>247</v>
      </c>
      <c r="D32" s="321" t="s">
        <v>248</v>
      </c>
      <c r="E32" s="36" t="s">
        <v>1098</v>
      </c>
      <c r="F32" s="36" t="s">
        <v>249</v>
      </c>
    </row>
    <row r="33" spans="1:6" ht="13.8" thickTop="1">
      <c r="A33" s="578" t="s">
        <v>250</v>
      </c>
      <c r="B33" s="578"/>
      <c r="C33" s="578"/>
      <c r="D33" s="578"/>
      <c r="E33" s="578"/>
      <c r="F33" s="578"/>
    </row>
    <row r="34" spans="1:6" ht="51.6" thickBot="1">
      <c r="A34" s="322" t="s">
        <v>251</v>
      </c>
      <c r="B34" s="321" t="s">
        <v>252</v>
      </c>
      <c r="C34" s="321" t="s">
        <v>253</v>
      </c>
      <c r="D34" s="321" t="s">
        <v>254</v>
      </c>
      <c r="E34" s="321" t="s">
        <v>1099</v>
      </c>
      <c r="F34" s="321" t="s">
        <v>991</v>
      </c>
    </row>
    <row r="35" spans="1:6" ht="41.4" thickBot="1">
      <c r="A35" s="319" t="s">
        <v>992</v>
      </c>
      <c r="B35" s="320" t="s">
        <v>993</v>
      </c>
      <c r="C35" s="320" t="s">
        <v>994</v>
      </c>
      <c r="D35" s="320" t="s">
        <v>995</v>
      </c>
      <c r="E35" s="320" t="s">
        <v>1100</v>
      </c>
      <c r="F35" s="280" t="s">
        <v>996</v>
      </c>
    </row>
    <row r="36" spans="1:6" ht="31.2" thickBot="1">
      <c r="A36" s="280" t="s">
        <v>997</v>
      </c>
      <c r="B36" s="320" t="s">
        <v>998</v>
      </c>
      <c r="C36" s="320" t="s">
        <v>999</v>
      </c>
      <c r="D36" s="323" t="s">
        <v>1088</v>
      </c>
      <c r="E36" s="320" t="s">
        <v>1101</v>
      </c>
      <c r="F36" s="280" t="s">
        <v>1000</v>
      </c>
    </row>
    <row r="37" spans="1:6" ht="51">
      <c r="A37" s="36" t="s">
        <v>501</v>
      </c>
      <c r="B37" s="321" t="s">
        <v>1001</v>
      </c>
      <c r="C37" s="321" t="s">
        <v>1002</v>
      </c>
      <c r="D37" s="321" t="s">
        <v>1003</v>
      </c>
      <c r="E37" s="576" t="s">
        <v>1102</v>
      </c>
      <c r="F37" s="321" t="s">
        <v>149</v>
      </c>
    </row>
    <row r="38" spans="1:6" ht="24.75" customHeight="1" thickBot="1">
      <c r="A38" s="177" t="s">
        <v>502</v>
      </c>
      <c r="B38" s="261" t="s">
        <v>1001</v>
      </c>
      <c r="C38" s="261" t="s">
        <v>150</v>
      </c>
      <c r="D38" s="261" t="s">
        <v>1003</v>
      </c>
      <c r="E38" s="577"/>
      <c r="F38" s="261" t="s">
        <v>151</v>
      </c>
    </row>
    <row r="39" spans="1:6" ht="27.75" customHeight="1" thickTop="1">
      <c r="A39" s="489" t="s">
        <v>475</v>
      </c>
      <c r="B39" s="489"/>
      <c r="C39" s="489"/>
      <c r="D39" s="489"/>
      <c r="E39" s="489"/>
      <c r="F39" s="489"/>
    </row>
    <row r="40" spans="1:6" ht="51">
      <c r="A40" s="25" t="s">
        <v>764</v>
      </c>
      <c r="B40" s="25" t="s">
        <v>219</v>
      </c>
      <c r="C40" s="25" t="s">
        <v>220</v>
      </c>
      <c r="D40" s="25" t="s">
        <v>440</v>
      </c>
      <c r="E40" s="25" t="s">
        <v>416</v>
      </c>
      <c r="F40" s="25" t="s">
        <v>152</v>
      </c>
    </row>
    <row r="41" spans="1:6" ht="60" customHeight="1" thickBot="1">
      <c r="A41" s="36" t="s">
        <v>153</v>
      </c>
      <c r="B41" s="36" t="s">
        <v>154</v>
      </c>
      <c r="C41" s="47" t="s">
        <v>155</v>
      </c>
      <c r="D41" s="47" t="s">
        <v>1089</v>
      </c>
      <c r="E41" s="36" t="s">
        <v>1103</v>
      </c>
      <c r="F41" s="36" t="s">
        <v>156</v>
      </c>
    </row>
    <row r="42" spans="1:6" ht="13.8" thickTop="1">
      <c r="A42" s="146"/>
      <c r="B42" s="146"/>
      <c r="C42" s="146"/>
      <c r="D42" s="146"/>
      <c r="E42" s="146"/>
      <c r="F42" s="146"/>
    </row>
    <row r="43" spans="1:6">
      <c r="A43" s="487" t="s">
        <v>776</v>
      </c>
      <c r="B43" s="487"/>
      <c r="C43" s="487"/>
      <c r="D43" s="487"/>
      <c r="E43" s="487"/>
      <c r="F43" s="487"/>
    </row>
  </sheetData>
  <sheetProtection password="CAF1" sheet="1" formatCells="0" formatColumns="0" formatRows="0" insertColumns="0" insertRows="0" insertHyperlinks="0" deleteColumns="0" deleteRows="0" sort="0" autoFilter="0" pivotTables="0"/>
  <mergeCells count="21">
    <mergeCell ref="A25:A26"/>
    <mergeCell ref="A28:A29"/>
    <mergeCell ref="A20:F20"/>
    <mergeCell ref="A22:F22"/>
    <mergeCell ref="D23:D24"/>
    <mergeCell ref="F23:F24"/>
    <mergeCell ref="C23:C24"/>
    <mergeCell ref="B23:B24"/>
    <mergeCell ref="A23:A24"/>
    <mergeCell ref="B25:B26"/>
    <mergeCell ref="F28:F29"/>
    <mergeCell ref="D25:D26"/>
    <mergeCell ref="B28:B29"/>
    <mergeCell ref="F25:F26"/>
    <mergeCell ref="C25:C26"/>
    <mergeCell ref="C28:C29"/>
    <mergeCell ref="A43:F43"/>
    <mergeCell ref="A39:F39"/>
    <mergeCell ref="E37:E38"/>
    <mergeCell ref="A33:F33"/>
    <mergeCell ref="D28:D29"/>
  </mergeCells>
  <phoneticPr fontId="27" type="noConversion"/>
  <hyperlinks>
    <hyperlink ref="A43:F43" location="Титул!A1" display="Вернуться к Содержанию"/>
  </hyperlinks>
  <pageMargins left="0.25" right="0.25" top="0.75" bottom="0.75" header="0.3" footer="0.3"/>
  <pageSetup paperSize="9" firstPageNumber="38" orientation="portrait" useFirstPageNumber="1" r:id="rId1"/>
  <headerFooter alignWithMargins="0">
    <oddHeader>&amp;L&amp;"Times New Roman,полужирный"Газпром в цифрах 2006-2010 гг.&amp;R&amp;"Times New Roman,полужирный"Справочник</oddHeader>
    <oddFooter>&amp;C&amp;P</oddFooter>
  </headerFooter>
  <drawing r:id="rId2"/>
</worksheet>
</file>

<file path=xl/worksheets/sheet25.xml><?xml version="1.0" encoding="utf-8"?>
<worksheet xmlns="http://schemas.openxmlformats.org/spreadsheetml/2006/main" xmlns:r="http://schemas.openxmlformats.org/officeDocument/2006/relationships">
  <sheetPr codeName="Лист25"/>
  <dimension ref="A1:G41"/>
  <sheetViews>
    <sheetView zoomScaleNormal="100" zoomScaleSheetLayoutView="100" workbookViewId="0"/>
  </sheetViews>
  <sheetFormatPr defaultColWidth="0" defaultRowHeight="13.2" zeroHeight="1"/>
  <cols>
    <col min="1" max="1" width="56.6640625" style="2" customWidth="1"/>
    <col min="2" max="2" width="3" style="2" hidden="1" customWidth="1"/>
    <col min="3" max="3" width="7.33203125" style="2" customWidth="1"/>
    <col min="4" max="7" width="9.33203125" style="2" customWidth="1"/>
    <col min="8" max="16384" width="0" style="2" hidden="1"/>
  </cols>
  <sheetData>
    <row r="1" spans="1:7" ht="15.6">
      <c r="A1" s="51" t="s">
        <v>784</v>
      </c>
      <c r="B1" s="28"/>
      <c r="C1" s="28"/>
      <c r="D1" s="28"/>
      <c r="E1" s="28"/>
      <c r="F1" s="28"/>
      <c r="G1" s="28"/>
    </row>
    <row r="2" spans="1:7" ht="18.75" customHeight="1">
      <c r="A2" s="226" t="s">
        <v>441</v>
      </c>
      <c r="B2" s="28"/>
      <c r="C2" s="28"/>
      <c r="D2" s="28"/>
      <c r="E2" s="28"/>
      <c r="F2" s="28"/>
      <c r="G2" s="28"/>
    </row>
    <row r="3" spans="1:7" ht="12.75" customHeight="1">
      <c r="A3" s="125"/>
      <c r="B3" s="30"/>
      <c r="C3" s="30"/>
      <c r="D3" s="488" t="s">
        <v>569</v>
      </c>
      <c r="E3" s="488"/>
      <c r="F3" s="488"/>
      <c r="G3" s="488"/>
    </row>
    <row r="4" spans="1:7">
      <c r="A4" s="125"/>
      <c r="B4" s="24"/>
      <c r="C4" s="24"/>
      <c r="D4" s="448">
        <v>2007</v>
      </c>
      <c r="E4" s="448">
        <v>2008</v>
      </c>
      <c r="F4" s="448">
        <v>2009</v>
      </c>
      <c r="G4" s="448">
        <v>2010</v>
      </c>
    </row>
    <row r="5" spans="1:7">
      <c r="A5" s="39" t="s">
        <v>442</v>
      </c>
      <c r="B5" s="39"/>
      <c r="C5" s="39"/>
      <c r="D5" s="39"/>
      <c r="E5" s="39"/>
      <c r="F5" s="39"/>
      <c r="G5" s="39"/>
    </row>
    <row r="6" spans="1:7">
      <c r="A6" s="59" t="s">
        <v>269</v>
      </c>
      <c r="B6" s="324"/>
      <c r="C6" s="324"/>
      <c r="D6" s="324">
        <v>11117</v>
      </c>
      <c r="E6" s="324">
        <v>11904</v>
      </c>
      <c r="F6" s="324">
        <v>11918</v>
      </c>
      <c r="G6" s="299" t="s">
        <v>554</v>
      </c>
    </row>
    <row r="7" spans="1:7">
      <c r="A7" s="59" t="s">
        <v>589</v>
      </c>
      <c r="B7" s="324"/>
      <c r="C7" s="324"/>
      <c r="D7" s="324">
        <v>0</v>
      </c>
      <c r="E7" s="324">
        <v>8695</v>
      </c>
      <c r="F7" s="324">
        <v>8695</v>
      </c>
      <c r="G7" s="299" t="s">
        <v>555</v>
      </c>
    </row>
    <row r="8" spans="1:7">
      <c r="A8" s="59" t="s">
        <v>590</v>
      </c>
      <c r="B8" s="324"/>
      <c r="C8" s="324"/>
      <c r="D8" s="324">
        <v>0</v>
      </c>
      <c r="E8" s="324">
        <v>9052</v>
      </c>
      <c r="F8" s="324">
        <v>9052</v>
      </c>
      <c r="G8" s="299" t="s">
        <v>556</v>
      </c>
    </row>
    <row r="9" spans="1:7">
      <c r="A9" s="59" t="s">
        <v>591</v>
      </c>
      <c r="B9" s="324"/>
      <c r="C9" s="324"/>
      <c r="D9" s="324">
        <v>0</v>
      </c>
      <c r="E9" s="324">
        <v>0</v>
      </c>
      <c r="F9" s="324">
        <v>6313</v>
      </c>
      <c r="G9" s="299" t="s">
        <v>557</v>
      </c>
    </row>
    <row r="10" spans="1:7" ht="14.25" customHeight="1">
      <c r="A10" s="59" t="s">
        <v>396</v>
      </c>
      <c r="B10" s="324"/>
      <c r="C10" s="324"/>
      <c r="D10" s="324">
        <v>170</v>
      </c>
      <c r="E10" s="324">
        <v>170</v>
      </c>
      <c r="F10" s="324">
        <v>170</v>
      </c>
      <c r="G10" s="299">
        <v>170</v>
      </c>
    </row>
    <row r="11" spans="1:7" ht="13.8" thickBot="1">
      <c r="A11" s="325" t="s">
        <v>1029</v>
      </c>
      <c r="B11" s="326"/>
      <c r="C11" s="326"/>
      <c r="D11" s="326">
        <v>11287</v>
      </c>
      <c r="E11" s="326">
        <v>29821</v>
      </c>
      <c r="F11" s="326">
        <v>36148</v>
      </c>
      <c r="G11" s="302" t="s">
        <v>558</v>
      </c>
    </row>
    <row r="12" spans="1:7" ht="13.8" thickTop="1">
      <c r="A12" s="146" t="s">
        <v>753</v>
      </c>
      <c r="B12" s="146"/>
      <c r="C12" s="146"/>
      <c r="D12" s="146"/>
      <c r="E12" s="146"/>
      <c r="F12" s="146"/>
      <c r="G12" s="146"/>
    </row>
    <row r="13" spans="1:7">
      <c r="A13" s="59" t="s">
        <v>269</v>
      </c>
      <c r="B13" s="324"/>
      <c r="C13" s="324"/>
      <c r="D13" s="324">
        <v>34297</v>
      </c>
      <c r="E13" s="324">
        <v>34167</v>
      </c>
      <c r="F13" s="324">
        <v>34900</v>
      </c>
      <c r="G13" s="299" t="s">
        <v>559</v>
      </c>
    </row>
    <row r="14" spans="1:7">
      <c r="A14" s="59" t="s">
        <v>589</v>
      </c>
      <c r="B14" s="324"/>
      <c r="C14" s="324"/>
      <c r="D14" s="324">
        <v>0</v>
      </c>
      <c r="E14" s="324">
        <v>1700</v>
      </c>
      <c r="F14" s="324">
        <v>1700</v>
      </c>
      <c r="G14" s="299" t="s">
        <v>560</v>
      </c>
    </row>
    <row r="15" spans="1:7">
      <c r="A15" s="59" t="s">
        <v>590</v>
      </c>
      <c r="B15" s="324"/>
      <c r="C15" s="324"/>
      <c r="D15" s="324">
        <v>0</v>
      </c>
      <c r="E15" s="324">
        <v>2700</v>
      </c>
      <c r="F15" s="324">
        <v>2700</v>
      </c>
      <c r="G15" s="299" t="s">
        <v>561</v>
      </c>
    </row>
    <row r="16" spans="1:7">
      <c r="A16" s="59" t="s">
        <v>591</v>
      </c>
      <c r="B16" s="324"/>
      <c r="C16" s="324"/>
      <c r="D16" s="324">
        <v>0</v>
      </c>
      <c r="E16" s="324">
        <v>0</v>
      </c>
      <c r="F16" s="324">
        <v>14362</v>
      </c>
      <c r="G16" s="299" t="s">
        <v>562</v>
      </c>
    </row>
    <row r="17" spans="1:7">
      <c r="A17" s="59" t="s">
        <v>396</v>
      </c>
      <c r="B17" s="324"/>
      <c r="C17" s="324"/>
      <c r="D17" s="324">
        <v>894</v>
      </c>
      <c r="E17" s="324">
        <v>894</v>
      </c>
      <c r="F17" s="324">
        <v>894</v>
      </c>
      <c r="G17" s="299">
        <v>894</v>
      </c>
    </row>
    <row r="18" spans="1:7" ht="13.8" thickBot="1">
      <c r="A18" s="325" t="s">
        <v>1029</v>
      </c>
      <c r="B18" s="326"/>
      <c r="C18" s="326"/>
      <c r="D18" s="326">
        <v>35191</v>
      </c>
      <c r="E18" s="326">
        <v>39461</v>
      </c>
      <c r="F18" s="326">
        <v>54556</v>
      </c>
      <c r="G18" s="302" t="s">
        <v>563</v>
      </c>
    </row>
    <row r="19" spans="1:7" ht="13.8" thickTop="1">
      <c r="A19" s="584" t="s">
        <v>397</v>
      </c>
      <c r="B19" s="584"/>
      <c r="C19" s="584"/>
      <c r="D19" s="584"/>
      <c r="E19" s="584"/>
      <c r="F19" s="584"/>
      <c r="G19" s="584"/>
    </row>
    <row r="20" spans="1:7" ht="19.5" customHeight="1">
      <c r="A20" s="226" t="s">
        <v>398</v>
      </c>
      <c r="B20" s="28"/>
      <c r="C20" s="28"/>
      <c r="D20" s="28"/>
      <c r="E20" s="28"/>
      <c r="F20" s="28"/>
      <c r="G20" s="28"/>
    </row>
    <row r="21" spans="1:7" ht="12.75" customHeight="1">
      <c r="A21" s="125"/>
      <c r="B21" s="30"/>
      <c r="C21" s="30"/>
      <c r="D21" s="488" t="s">
        <v>1027</v>
      </c>
      <c r="E21" s="488"/>
      <c r="F21" s="488"/>
      <c r="G21" s="488"/>
    </row>
    <row r="22" spans="1:7">
      <c r="A22" s="125"/>
      <c r="B22" s="24"/>
      <c r="C22" s="24"/>
      <c r="D22" s="448">
        <v>2007</v>
      </c>
      <c r="E22" s="448">
        <v>2008</v>
      </c>
      <c r="F22" s="448">
        <v>2009</v>
      </c>
      <c r="G22" s="448">
        <v>2010</v>
      </c>
    </row>
    <row r="23" spans="1:7">
      <c r="A23" s="39" t="s">
        <v>785</v>
      </c>
      <c r="B23" s="39"/>
      <c r="C23" s="39"/>
      <c r="D23" s="39"/>
      <c r="E23" s="39"/>
      <c r="F23" s="39"/>
      <c r="G23" s="39"/>
    </row>
    <row r="24" spans="1:7" ht="12.75" customHeight="1">
      <c r="A24" s="59" t="s">
        <v>269</v>
      </c>
      <c r="B24" s="315"/>
      <c r="C24" s="315"/>
      <c r="D24" s="315">
        <v>31.9</v>
      </c>
      <c r="E24" s="315">
        <v>64.2</v>
      </c>
      <c r="F24" s="315">
        <v>61.7</v>
      </c>
      <c r="G24" s="300">
        <v>65</v>
      </c>
    </row>
    <row r="25" spans="1:7">
      <c r="A25" s="59" t="s">
        <v>266</v>
      </c>
      <c r="B25" s="315"/>
      <c r="C25" s="315"/>
      <c r="D25" s="315">
        <v>0</v>
      </c>
      <c r="E25" s="315">
        <v>24.9</v>
      </c>
      <c r="F25" s="315">
        <v>47.2</v>
      </c>
      <c r="G25" s="299">
        <v>47.6</v>
      </c>
    </row>
    <row r="26" spans="1:7">
      <c r="A26" s="59" t="s">
        <v>267</v>
      </c>
      <c r="B26" s="315"/>
      <c r="C26" s="315"/>
      <c r="D26" s="315">
        <v>0</v>
      </c>
      <c r="E26" s="315">
        <v>19.5</v>
      </c>
      <c r="F26" s="315">
        <v>29</v>
      </c>
      <c r="G26" s="299">
        <v>34.9</v>
      </c>
    </row>
    <row r="27" spans="1:7">
      <c r="A27" s="59" t="s">
        <v>268</v>
      </c>
      <c r="B27" s="315"/>
      <c r="C27" s="315"/>
      <c r="D27" s="315">
        <v>0</v>
      </c>
      <c r="E27" s="315">
        <v>0</v>
      </c>
      <c r="F27" s="315">
        <v>0</v>
      </c>
      <c r="G27" s="299">
        <v>27.2</v>
      </c>
    </row>
    <row r="28" spans="1:7" ht="13.5" customHeight="1">
      <c r="A28" s="59" t="s">
        <v>396</v>
      </c>
      <c r="B28" s="315"/>
      <c r="C28" s="315"/>
      <c r="D28" s="315">
        <v>0.6</v>
      </c>
      <c r="E28" s="315">
        <v>0.7</v>
      </c>
      <c r="F28" s="315">
        <v>0.6</v>
      </c>
      <c r="G28" s="299">
        <v>0.4</v>
      </c>
    </row>
    <row r="29" spans="1:7" ht="13.8" thickBot="1">
      <c r="A29" s="325" t="s">
        <v>580</v>
      </c>
      <c r="B29" s="327"/>
      <c r="C29" s="327"/>
      <c r="D29" s="327">
        <v>32.5</v>
      </c>
      <c r="E29" s="327">
        <v>109.3</v>
      </c>
      <c r="F29" s="327">
        <v>138.5</v>
      </c>
      <c r="G29" s="302">
        <v>175.1</v>
      </c>
    </row>
    <row r="30" spans="1:7" ht="13.8" thickTop="1">
      <c r="A30" s="146" t="s">
        <v>786</v>
      </c>
      <c r="B30" s="146"/>
      <c r="C30" s="146"/>
      <c r="D30" s="146"/>
      <c r="E30" s="146"/>
      <c r="F30" s="146"/>
      <c r="G30" s="146"/>
    </row>
    <row r="31" spans="1:7">
      <c r="A31" s="59" t="s">
        <v>269</v>
      </c>
      <c r="B31" s="315"/>
      <c r="C31" s="315"/>
      <c r="D31" s="315">
        <v>28</v>
      </c>
      <c r="E31" s="315">
        <v>62.4</v>
      </c>
      <c r="F31" s="315">
        <v>65.3</v>
      </c>
      <c r="G31" s="299">
        <v>69.900000000000006</v>
      </c>
    </row>
    <row r="32" spans="1:7">
      <c r="A32" s="59" t="s">
        <v>266</v>
      </c>
      <c r="B32" s="328"/>
      <c r="C32" s="315"/>
      <c r="D32" s="328">
        <v>0</v>
      </c>
      <c r="E32" s="315">
        <v>1.2</v>
      </c>
      <c r="F32" s="315">
        <v>2.4</v>
      </c>
      <c r="G32" s="299">
        <v>2.4</v>
      </c>
    </row>
    <row r="33" spans="1:7">
      <c r="A33" s="59" t="s">
        <v>267</v>
      </c>
      <c r="B33" s="328"/>
      <c r="C33" s="315"/>
      <c r="D33" s="328">
        <v>0</v>
      </c>
      <c r="E33" s="315">
        <v>2.2000000000000002</v>
      </c>
      <c r="F33" s="315">
        <v>4.4000000000000004</v>
      </c>
      <c r="G33" s="299">
        <v>4.4000000000000004</v>
      </c>
    </row>
    <row r="34" spans="1:7">
      <c r="A34" s="59" t="s">
        <v>268</v>
      </c>
      <c r="B34" s="328"/>
      <c r="C34" s="328"/>
      <c r="D34" s="328">
        <v>0</v>
      </c>
      <c r="E34" s="328">
        <v>0</v>
      </c>
      <c r="F34" s="328">
        <v>0</v>
      </c>
      <c r="G34" s="329">
        <v>28.8</v>
      </c>
    </row>
    <row r="35" spans="1:7" ht="13.5" customHeight="1">
      <c r="A35" s="59" t="s">
        <v>396</v>
      </c>
      <c r="B35" s="315"/>
      <c r="C35" s="315"/>
      <c r="D35" s="315">
        <v>1.3</v>
      </c>
      <c r="E35" s="315">
        <v>1.3</v>
      </c>
      <c r="F35" s="315">
        <v>1.3</v>
      </c>
      <c r="G35" s="299">
        <v>1.4</v>
      </c>
    </row>
    <row r="36" spans="1:7" ht="13.8" thickBot="1">
      <c r="A36" s="325" t="s">
        <v>1029</v>
      </c>
      <c r="B36" s="327"/>
      <c r="C36" s="327"/>
      <c r="D36" s="327">
        <v>29.3</v>
      </c>
      <c r="E36" s="327">
        <v>67.099999999999994</v>
      </c>
      <c r="F36" s="327">
        <v>73.400000000000006</v>
      </c>
      <c r="G36" s="302">
        <v>106.9</v>
      </c>
    </row>
    <row r="37" spans="1:7" ht="13.8" thickTop="1">
      <c r="A37" s="582" t="s">
        <v>64</v>
      </c>
      <c r="B37" s="582"/>
      <c r="C37" s="582"/>
      <c r="D37" s="582"/>
      <c r="E37" s="582"/>
      <c r="F37" s="582"/>
      <c r="G37" s="582"/>
    </row>
    <row r="38" spans="1:7">
      <c r="A38" s="583" t="s">
        <v>65</v>
      </c>
      <c r="B38" s="583"/>
      <c r="C38" s="583"/>
      <c r="D38" s="583"/>
      <c r="E38" s="583"/>
      <c r="F38" s="583"/>
      <c r="G38" s="583"/>
    </row>
    <row r="39" spans="1:7">
      <c r="A39" s="583" t="s">
        <v>399</v>
      </c>
      <c r="B39" s="583"/>
      <c r="C39" s="583"/>
      <c r="D39" s="583"/>
      <c r="E39" s="583"/>
      <c r="F39" s="583"/>
      <c r="G39" s="583"/>
    </row>
    <row r="40" spans="1:7">
      <c r="A40" s="28"/>
      <c r="B40" s="28"/>
      <c r="C40" s="28"/>
      <c r="D40" s="28"/>
      <c r="E40" s="28"/>
      <c r="F40" s="28"/>
      <c r="G40" s="28"/>
    </row>
    <row r="41" spans="1:7">
      <c r="A41" s="487" t="s">
        <v>776</v>
      </c>
      <c r="B41" s="487"/>
      <c r="C41" s="487"/>
      <c r="D41" s="487"/>
      <c r="E41" s="487"/>
      <c r="F41" s="487"/>
      <c r="G41" s="22"/>
    </row>
  </sheetData>
  <sheetProtection password="CAF1" sheet="1" formatCells="0" formatColumns="0" formatRows="0" insertColumns="0" insertRows="0" insertHyperlinks="0" deleteColumns="0" deleteRows="0" sort="0" autoFilter="0" pivotTables="0"/>
  <mergeCells count="7">
    <mergeCell ref="A41:F41"/>
    <mergeCell ref="D3:G3"/>
    <mergeCell ref="D21:G21"/>
    <mergeCell ref="A37:G37"/>
    <mergeCell ref="A38:G38"/>
    <mergeCell ref="A39:G39"/>
    <mergeCell ref="A19:G19"/>
  </mergeCells>
  <phoneticPr fontId="27" type="noConversion"/>
  <hyperlinks>
    <hyperlink ref="A41:F41" location="Титул!A1" display="Вернуться к Содержанию"/>
  </hyperlinks>
  <pageMargins left="0.25" right="0.25" top="0.75" bottom="0.75" header="0.3" footer="0.3"/>
  <pageSetup paperSize="9" firstPageNumber="40" orientation="portrait" useFirstPageNumber="1" r:id="rId1"/>
  <headerFooter alignWithMargins="0">
    <oddHeader>&amp;L&amp;"Times New Roman,полужирный"Газпром в цифрах 2006-2010 гг.&amp;R&amp;"Times New Roman,полужирный"Справочник</oddHeader>
    <oddFooter>&amp;C&amp;P</oddFooter>
  </headerFooter>
</worksheet>
</file>

<file path=xl/worksheets/sheet26.xml><?xml version="1.0" encoding="utf-8"?>
<worksheet xmlns="http://schemas.openxmlformats.org/spreadsheetml/2006/main" xmlns:r="http://schemas.openxmlformats.org/officeDocument/2006/relationships">
  <sheetPr codeName="Лист26"/>
  <dimension ref="A1:F111"/>
  <sheetViews>
    <sheetView zoomScaleNormal="100" zoomScaleSheetLayoutView="100" workbookViewId="0"/>
  </sheetViews>
  <sheetFormatPr defaultColWidth="0" defaultRowHeight="13.2" zeroHeight="1"/>
  <cols>
    <col min="1" max="1" width="58.109375" style="2" customWidth="1"/>
    <col min="2" max="6" width="8.5546875" style="2" customWidth="1"/>
    <col min="7" max="16384" width="0" style="2" hidden="1"/>
  </cols>
  <sheetData>
    <row r="1" spans="1:6" ht="15" customHeight="1">
      <c r="A1" s="51" t="s">
        <v>343</v>
      </c>
      <c r="B1" s="304"/>
      <c r="C1" s="304"/>
      <c r="D1" s="304"/>
      <c r="E1" s="304"/>
      <c r="F1" s="304"/>
    </row>
    <row r="2" spans="1:6" ht="17.25" customHeight="1">
      <c r="A2" s="514" t="s">
        <v>443</v>
      </c>
      <c r="B2" s="514"/>
      <c r="C2" s="514"/>
      <c r="D2" s="514"/>
      <c r="E2" s="514"/>
      <c r="F2" s="172"/>
    </row>
    <row r="3" spans="1:6" ht="13.5" customHeight="1">
      <c r="A3" s="330"/>
      <c r="B3" s="28"/>
      <c r="C3" s="28"/>
      <c r="D3" s="28"/>
      <c r="E3" s="28"/>
      <c r="F3" s="28"/>
    </row>
    <row r="4" spans="1:6" ht="13.5" customHeight="1">
      <c r="A4" s="330"/>
      <c r="B4" s="28"/>
      <c r="C4" s="28"/>
      <c r="D4" s="28"/>
      <c r="E4" s="28"/>
      <c r="F4" s="28"/>
    </row>
    <row r="5" spans="1:6" ht="13.5" customHeight="1">
      <c r="A5" s="330"/>
      <c r="B5" s="28"/>
      <c r="C5" s="28"/>
      <c r="D5" s="28"/>
      <c r="E5" s="28"/>
      <c r="F5" s="28"/>
    </row>
    <row r="6" spans="1:6" ht="13.5" customHeight="1">
      <c r="A6" s="330"/>
      <c r="B6" s="28"/>
      <c r="C6" s="28"/>
      <c r="D6" s="28"/>
      <c r="E6" s="28"/>
      <c r="F6" s="28"/>
    </row>
    <row r="7" spans="1:6" ht="13.5" customHeight="1">
      <c r="A7" s="330"/>
      <c r="B7" s="28"/>
      <c r="C7" s="28"/>
      <c r="D7" s="28"/>
      <c r="E7" s="28"/>
      <c r="F7" s="28"/>
    </row>
    <row r="8" spans="1:6" ht="13.5" customHeight="1">
      <c r="A8" s="330"/>
      <c r="B8" s="28"/>
      <c r="C8" s="28"/>
      <c r="D8" s="28"/>
      <c r="E8" s="28"/>
      <c r="F8" s="28"/>
    </row>
    <row r="9" spans="1:6" ht="13.5" customHeight="1">
      <c r="A9" s="330"/>
      <c r="B9" s="28"/>
      <c r="C9" s="28"/>
      <c r="D9" s="28"/>
      <c r="E9" s="28"/>
      <c r="F9" s="28"/>
    </row>
    <row r="10" spans="1:6" ht="13.5" customHeight="1">
      <c r="A10" s="330"/>
      <c r="B10" s="28"/>
      <c r="C10" s="28"/>
      <c r="D10" s="28"/>
      <c r="E10" s="28"/>
      <c r="F10" s="28"/>
    </row>
    <row r="11" spans="1:6" ht="13.5" customHeight="1">
      <c r="A11" s="330"/>
      <c r="B11" s="28"/>
      <c r="C11" s="28"/>
      <c r="D11" s="28"/>
      <c r="E11" s="28"/>
      <c r="F11" s="28"/>
    </row>
    <row r="12" spans="1:6" ht="13.5" customHeight="1">
      <c r="A12" s="330"/>
      <c r="B12" s="28"/>
      <c r="C12" s="28"/>
      <c r="D12" s="28"/>
      <c r="E12" s="28"/>
      <c r="F12" s="28"/>
    </row>
    <row r="13" spans="1:6" ht="13.5" customHeight="1">
      <c r="A13" s="330"/>
      <c r="B13" s="28"/>
      <c r="C13" s="28"/>
      <c r="D13" s="28"/>
      <c r="E13" s="28"/>
      <c r="F13" s="28"/>
    </row>
    <row r="14" spans="1:6" ht="13.5" customHeight="1">
      <c r="A14" s="330"/>
      <c r="B14" s="28"/>
      <c r="C14" s="28"/>
      <c r="D14" s="28"/>
      <c r="E14" s="28"/>
      <c r="F14" s="28"/>
    </row>
    <row r="15" spans="1:6" ht="13.5" customHeight="1">
      <c r="A15" s="330"/>
      <c r="B15" s="28"/>
      <c r="C15" s="28"/>
      <c r="D15" s="28"/>
      <c r="E15" s="28"/>
      <c r="F15" s="28"/>
    </row>
    <row r="16" spans="1:6" ht="13.5" customHeight="1">
      <c r="A16" s="330"/>
      <c r="B16" s="28"/>
      <c r="C16" s="28"/>
      <c r="D16" s="28"/>
      <c r="E16" s="28"/>
      <c r="F16" s="28"/>
    </row>
    <row r="17" spans="1:6" ht="13.5" customHeight="1">
      <c r="A17" s="330"/>
      <c r="B17" s="28"/>
      <c r="C17" s="28"/>
      <c r="D17" s="28"/>
      <c r="E17" s="28"/>
      <c r="F17" s="28"/>
    </row>
    <row r="18" spans="1:6" ht="9" customHeight="1">
      <c r="A18" s="330"/>
      <c r="B18" s="28"/>
      <c r="C18" s="28"/>
      <c r="D18" s="28"/>
      <c r="E18" s="28"/>
      <c r="F18" s="28"/>
    </row>
    <row r="19" spans="1:6" ht="9" customHeight="1">
      <c r="A19" s="330"/>
      <c r="B19" s="28"/>
      <c r="C19" s="28"/>
      <c r="D19" s="28"/>
      <c r="E19" s="28"/>
      <c r="F19" s="28"/>
    </row>
    <row r="20" spans="1:6" ht="9.75" customHeight="1">
      <c r="A20" s="28"/>
      <c r="B20" s="28"/>
      <c r="C20" s="28"/>
      <c r="D20" s="28"/>
      <c r="E20" s="28"/>
      <c r="F20" s="28"/>
    </row>
    <row r="21" spans="1:6">
      <c r="A21" s="186" t="s">
        <v>600</v>
      </c>
      <c r="B21" s="28"/>
      <c r="C21" s="28"/>
      <c r="D21" s="28"/>
      <c r="E21" s="28"/>
      <c r="F21" s="28"/>
    </row>
    <row r="22" spans="1:6">
      <c r="A22" s="213"/>
      <c r="B22" s="491" t="s">
        <v>656</v>
      </c>
      <c r="C22" s="491"/>
      <c r="D22" s="491"/>
      <c r="E22" s="491"/>
      <c r="F22" s="491"/>
    </row>
    <row r="23" spans="1:6">
      <c r="A23" s="213"/>
      <c r="B23" s="448">
        <v>2006</v>
      </c>
      <c r="C23" s="344">
        <v>2007</v>
      </c>
      <c r="D23" s="344">
        <v>2008</v>
      </c>
      <c r="E23" s="344">
        <v>2009</v>
      </c>
      <c r="F23" s="344">
        <v>2010</v>
      </c>
    </row>
    <row r="24" spans="1:6">
      <c r="A24" s="136"/>
      <c r="B24" s="491" t="s">
        <v>787</v>
      </c>
      <c r="C24" s="491"/>
      <c r="D24" s="491"/>
      <c r="E24" s="491"/>
      <c r="F24" s="491"/>
    </row>
    <row r="25" spans="1:6">
      <c r="A25" s="55" t="s">
        <v>788</v>
      </c>
      <c r="B25" s="237">
        <v>356033</v>
      </c>
      <c r="C25" s="154">
        <v>399452</v>
      </c>
      <c r="D25" s="154">
        <v>474268</v>
      </c>
      <c r="E25" s="154">
        <v>494931</v>
      </c>
      <c r="F25" s="154">
        <v>614702</v>
      </c>
    </row>
    <row r="26" spans="1:6">
      <c r="A26" s="55" t="s">
        <v>444</v>
      </c>
      <c r="B26" s="237">
        <v>845867</v>
      </c>
      <c r="C26" s="154">
        <v>873410</v>
      </c>
      <c r="D26" s="154">
        <v>1260645</v>
      </c>
      <c r="E26" s="154">
        <v>1105453</v>
      </c>
      <c r="F26" s="154">
        <v>1099225</v>
      </c>
    </row>
    <row r="27" spans="1:6">
      <c r="A27" s="55" t="s">
        <v>789</v>
      </c>
      <c r="B27" s="237">
        <v>209719</v>
      </c>
      <c r="C27" s="154">
        <v>269645</v>
      </c>
      <c r="D27" s="154">
        <v>356514</v>
      </c>
      <c r="E27" s="154">
        <v>371152</v>
      </c>
      <c r="F27" s="154">
        <v>450137</v>
      </c>
    </row>
    <row r="28" spans="1:6">
      <c r="A28" s="100" t="s">
        <v>580</v>
      </c>
      <c r="B28" s="331">
        <v>1411619</v>
      </c>
      <c r="C28" s="332">
        <v>1542507</v>
      </c>
      <c r="D28" s="332">
        <v>2091427</v>
      </c>
      <c r="E28" s="332">
        <f>E25+E27+E26</f>
        <v>1971536</v>
      </c>
      <c r="F28" s="332">
        <f>F25+F27+F26</f>
        <v>2164064</v>
      </c>
    </row>
    <row r="29" spans="1:6">
      <c r="A29" s="213"/>
      <c r="B29" s="491" t="s">
        <v>92</v>
      </c>
      <c r="C29" s="491"/>
      <c r="D29" s="491"/>
      <c r="E29" s="491"/>
      <c r="F29" s="491"/>
    </row>
    <row r="30" spans="1:6">
      <c r="A30" s="55" t="s">
        <v>788</v>
      </c>
      <c r="B30" s="237">
        <f>ROUND(B25/Макроэкономика!D$9,0)</f>
        <v>13522</v>
      </c>
      <c r="C30" s="154">
        <f>ROUNDDOWN(C25/Макроэкономика!E$9,0)</f>
        <v>16270</v>
      </c>
      <c r="D30" s="154">
        <f>ROUNDDOWN(D25/Макроэкономика!F$9,0)</f>
        <v>16142</v>
      </c>
      <c r="E30" s="154">
        <f>ROUNDDOWN(E25/Макроэкономика!G$9,0)</f>
        <v>16366</v>
      </c>
      <c r="F30" s="154">
        <f>ROUND(F25/Макроэкономика!H$9,0)</f>
        <v>20167</v>
      </c>
    </row>
    <row r="31" spans="1:6">
      <c r="A31" s="55" t="s">
        <v>444</v>
      </c>
      <c r="B31" s="237">
        <f>ROUND(B26/Макроэкономика!D$9,0)</f>
        <v>32126</v>
      </c>
      <c r="C31" s="154">
        <f>ROUND(C26/Макроэкономика!E$9,0)</f>
        <v>35577</v>
      </c>
      <c r="D31" s="154">
        <f>ROUND(D26/Макроэкономика!F$9,0)</f>
        <v>42908</v>
      </c>
      <c r="E31" s="154">
        <f>ROUND(E26/Макроэкономика!G$9,0)</f>
        <v>36556</v>
      </c>
      <c r="F31" s="154">
        <f>ROUND(F26/Макроэкономика!H$9,0)</f>
        <v>36064</v>
      </c>
    </row>
    <row r="32" spans="1:6">
      <c r="A32" s="55" t="s">
        <v>789</v>
      </c>
      <c r="B32" s="237">
        <f>ROUND(B27/Макроэкономика!D$9,0)</f>
        <v>7965</v>
      </c>
      <c r="C32" s="154">
        <f>ROUND(C27/Макроэкономика!E$9,0)</f>
        <v>10984</v>
      </c>
      <c r="D32" s="154">
        <f>ROUND(D27/Макроэкономика!F$9,0)</f>
        <v>12135</v>
      </c>
      <c r="E32" s="154">
        <f>ROUND(E27/Макроэкономика!G$9,0)</f>
        <v>12274</v>
      </c>
      <c r="F32" s="154">
        <f>ROUND(F27/Макроэкономика!H$9,0)</f>
        <v>14768</v>
      </c>
    </row>
    <row r="33" spans="1:6">
      <c r="A33" s="100" t="s">
        <v>580</v>
      </c>
      <c r="B33" s="331">
        <f>ROUND(B28/Макроэкономика!D$9,0)</f>
        <v>53613</v>
      </c>
      <c r="C33" s="332">
        <f>ROUND(C28/Макроэкономика!E$9,0)</f>
        <v>62831</v>
      </c>
      <c r="D33" s="332">
        <f>ROUND(D28/Макроэкономика!F$9,0)</f>
        <v>71185</v>
      </c>
      <c r="E33" s="332">
        <f>ROUND(E28/Макроэкономика!G$9,0)</f>
        <v>65196</v>
      </c>
      <c r="F33" s="332">
        <f>ROUND(F28/Макроэкономика!H$9,0)</f>
        <v>70999</v>
      </c>
    </row>
    <row r="34" spans="1:6">
      <c r="A34" s="213"/>
      <c r="B34" s="491" t="s">
        <v>93</v>
      </c>
      <c r="C34" s="491"/>
      <c r="D34" s="491"/>
      <c r="E34" s="491"/>
      <c r="F34" s="491"/>
    </row>
    <row r="35" spans="1:6">
      <c r="A35" s="55" t="s">
        <v>788</v>
      </c>
      <c r="B35" s="237">
        <f>ROUND(B25/Макроэкономика!D$13,0)</f>
        <v>10260</v>
      </c>
      <c r="C35" s="154">
        <f>ROUNDDOWN(C25/Макроэкономика!E$13,0)</f>
        <v>11117</v>
      </c>
      <c r="D35" s="154">
        <f>ROUND(D25/Макроэкономика!F$13,0)</f>
        <v>11445</v>
      </c>
      <c r="E35" s="154">
        <f>ROUND(E25/Макроэкономика!G$13,0)</f>
        <v>11407</v>
      </c>
      <c r="F35" s="154">
        <f>ROUND(F25/Макроэкономика!H$13,0)</f>
        <v>15242</v>
      </c>
    </row>
    <row r="36" spans="1:6">
      <c r="A36" s="55" t="s">
        <v>444</v>
      </c>
      <c r="B36" s="237">
        <f>ROUND(B26/Макроэкономика!D$13,0)</f>
        <v>24377</v>
      </c>
      <c r="C36" s="154">
        <f>ROUND(C26/Макроэкономика!E$13,0)</f>
        <v>24309</v>
      </c>
      <c r="D36" s="154">
        <f>ROUND(D26/Макроэкономика!F$13,0)</f>
        <v>30421</v>
      </c>
      <c r="E36" s="154">
        <f>ROUND(E26/Макроэкономика!G$13,0)</f>
        <v>25477</v>
      </c>
      <c r="F36" s="154">
        <f>ROUND(F26/Макроэкономика!H$13,0)</f>
        <v>27256</v>
      </c>
    </row>
    <row r="37" spans="1:6">
      <c r="A37" s="55" t="s">
        <v>789</v>
      </c>
      <c r="B37" s="237">
        <f>ROUND(B27/Макроэкономика!D$13,0)</f>
        <v>6044</v>
      </c>
      <c r="C37" s="154">
        <f>ROUND(C27/Макроэкономика!E$13,0)</f>
        <v>7505</v>
      </c>
      <c r="D37" s="154">
        <f>ROUND(D27/Макроэкономика!F$13,0)</f>
        <v>8603</v>
      </c>
      <c r="E37" s="154">
        <f>ROUND(E27/Макроэкономика!G$13,0)</f>
        <v>8554</v>
      </c>
      <c r="F37" s="154">
        <f>ROUND(F27/Макроэкономика!H$13,0)</f>
        <v>11161</v>
      </c>
    </row>
    <row r="38" spans="1:6" ht="13.8" thickBot="1">
      <c r="A38" s="68" t="s">
        <v>580</v>
      </c>
      <c r="B38" s="333">
        <f>ROUND(B28/Макроэкономика!D$13,0)</f>
        <v>40681</v>
      </c>
      <c r="C38" s="334">
        <f>ROUND(C28/Макроэкономика!E$13,0)</f>
        <v>42931</v>
      </c>
      <c r="D38" s="334">
        <f>ROUND(D28/Макроэкономика!F$13,0)</f>
        <v>50469</v>
      </c>
      <c r="E38" s="334">
        <f>ROUND(E28/Макроэкономика!G$13,0)</f>
        <v>45438</v>
      </c>
      <c r="F38" s="334">
        <f>ROUND(F28/Макроэкономика!H$13,0)</f>
        <v>53659</v>
      </c>
    </row>
    <row r="39" spans="1:6" ht="24" customHeight="1" thickTop="1">
      <c r="A39" s="513" t="s">
        <v>445</v>
      </c>
      <c r="B39" s="513"/>
      <c r="C39" s="513"/>
      <c r="D39" s="513"/>
      <c r="E39" s="513"/>
      <c r="F39" s="513"/>
    </row>
    <row r="40" spans="1:6" ht="14.25" customHeight="1">
      <c r="A40" s="490" t="s">
        <v>400</v>
      </c>
      <c r="B40" s="490"/>
      <c r="C40" s="490"/>
      <c r="D40" s="490"/>
      <c r="E40" s="490"/>
      <c r="F40" s="490"/>
    </row>
    <row r="41" spans="1:6" ht="16.5" customHeight="1">
      <c r="A41" s="186" t="s">
        <v>599</v>
      </c>
      <c r="B41" s="28"/>
      <c r="C41" s="28"/>
      <c r="D41" s="28"/>
      <c r="E41" s="28"/>
      <c r="F41" s="28"/>
    </row>
    <row r="42" spans="1:6">
      <c r="A42" s="125"/>
      <c r="B42" s="491" t="s">
        <v>656</v>
      </c>
      <c r="C42" s="491"/>
      <c r="D42" s="491"/>
      <c r="E42" s="491"/>
      <c r="F42" s="491"/>
    </row>
    <row r="43" spans="1:6">
      <c r="A43" s="125"/>
      <c r="B43" s="448">
        <v>2006</v>
      </c>
      <c r="C43" s="344">
        <v>2007</v>
      </c>
      <c r="D43" s="344">
        <v>2008</v>
      </c>
      <c r="E43" s="344">
        <v>2009</v>
      </c>
      <c r="F43" s="344">
        <v>2010</v>
      </c>
    </row>
    <row r="44" spans="1:6" ht="12" customHeight="1">
      <c r="A44" s="100" t="s">
        <v>788</v>
      </c>
      <c r="B44" s="207"/>
      <c r="C44" s="335"/>
      <c r="D44" s="335"/>
      <c r="E44" s="335"/>
      <c r="F44" s="335"/>
    </row>
    <row r="45" spans="1:6">
      <c r="A45" s="59" t="s">
        <v>598</v>
      </c>
      <c r="B45" s="85">
        <v>1125.4000000000001</v>
      </c>
      <c r="C45" s="336">
        <v>1301.0999999999999</v>
      </c>
      <c r="D45" s="336">
        <v>1652.8</v>
      </c>
      <c r="E45" s="336">
        <v>1885</v>
      </c>
      <c r="F45" s="336">
        <v>2345.5</v>
      </c>
    </row>
    <row r="46" spans="1:6">
      <c r="A46" s="59" t="s">
        <v>596</v>
      </c>
      <c r="B46" s="336">
        <f>ROUND(B45/Макроэкономика!D$9,1)</f>
        <v>42.7</v>
      </c>
      <c r="C46" s="336">
        <f>ROUND(C45/Макроэкономика!E$9,1)</f>
        <v>53</v>
      </c>
      <c r="D46" s="336">
        <f>ROUND(D45/Макроэкономика!F$9,1)</f>
        <v>56.3</v>
      </c>
      <c r="E46" s="336">
        <f>ROUND(E45/Макроэкономика!G$9,1)</f>
        <v>62.3</v>
      </c>
      <c r="F46" s="336">
        <f>ROUND(F45/Макроэкономика!H$9,1)</f>
        <v>77</v>
      </c>
    </row>
    <row r="47" spans="1:6">
      <c r="A47" s="151" t="s">
        <v>597</v>
      </c>
      <c r="B47" s="337">
        <f>ROUND(B45/Макроэкономика!D$13,1)</f>
        <v>32.4</v>
      </c>
      <c r="C47" s="337">
        <f>ROUND(C45/Макроэкономика!E$13,1)</f>
        <v>36.200000000000003</v>
      </c>
      <c r="D47" s="337">
        <f>ROUND(D45/Макроэкономика!F$13,1)</f>
        <v>39.9</v>
      </c>
      <c r="E47" s="337">
        <f>ROUND(E45/Макроэкономика!G$13,1)</f>
        <v>43.4</v>
      </c>
      <c r="F47" s="337">
        <f>ROUND(F45/Макроэкономика!H$13,1)</f>
        <v>58.2</v>
      </c>
    </row>
    <row r="48" spans="1:6" ht="12.75" customHeight="1">
      <c r="A48" s="100" t="s">
        <v>1024</v>
      </c>
      <c r="B48" s="207"/>
      <c r="C48" s="335"/>
      <c r="D48" s="335"/>
      <c r="E48" s="335"/>
      <c r="F48" s="335"/>
    </row>
    <row r="49" spans="1:6">
      <c r="A49" s="59" t="s">
        <v>598</v>
      </c>
      <c r="B49" s="85">
        <v>5238.5</v>
      </c>
      <c r="C49" s="336">
        <v>5181.8999999999996</v>
      </c>
      <c r="D49" s="336">
        <v>7521.5</v>
      </c>
      <c r="E49" s="336">
        <v>7452.1</v>
      </c>
      <c r="F49" s="336">
        <v>7420.7</v>
      </c>
    </row>
    <row r="50" spans="1:6">
      <c r="A50" s="59" t="s">
        <v>596</v>
      </c>
      <c r="B50" s="336">
        <f>ROUND(B49/Макроэкономика!D$9,1)</f>
        <v>199</v>
      </c>
      <c r="C50" s="336">
        <f>ROUND(C49/Макроэкономика!E$9,1)</f>
        <v>211.1</v>
      </c>
      <c r="D50" s="336">
        <f>ROUND(D49/Макроэкономика!F$9,1)</f>
        <v>256</v>
      </c>
      <c r="E50" s="336">
        <f>ROUND(E49/Макроэкономика!G$9,1)</f>
        <v>246.4</v>
      </c>
      <c r="F50" s="336">
        <f>ROUND(F49/Макроэкономика!H$9,1)</f>
        <v>243.5</v>
      </c>
    </row>
    <row r="51" spans="1:6" ht="13.8" thickBot="1">
      <c r="A51" s="193" t="s">
        <v>597</v>
      </c>
      <c r="B51" s="338">
        <f>ROUND(B49/Макроэкономика!D$13,1)</f>
        <v>151</v>
      </c>
      <c r="C51" s="338">
        <f>ROUND(C49/Макроэкономика!E$13,1)</f>
        <v>144.19999999999999</v>
      </c>
      <c r="D51" s="338">
        <f>ROUND(D49/Макроэкономика!F$13,1)</f>
        <v>181.5</v>
      </c>
      <c r="E51" s="338">
        <f>ROUND(E49/Макроэкономика!G$13,1)</f>
        <v>171.7</v>
      </c>
      <c r="F51" s="338">
        <f>ROUND(F49/Макроэкономика!H$13,1)</f>
        <v>184</v>
      </c>
    </row>
    <row r="52" spans="1:6" ht="12.75" customHeight="1" thickTop="1">
      <c r="A52" s="339" t="s">
        <v>789</v>
      </c>
      <c r="B52" s="340"/>
      <c r="C52" s="341"/>
      <c r="D52" s="341"/>
      <c r="E52" s="341"/>
      <c r="F52" s="341"/>
    </row>
    <row r="53" spans="1:6">
      <c r="A53" s="151" t="s">
        <v>598</v>
      </c>
      <c r="B53" s="76">
        <v>2077.4</v>
      </c>
      <c r="C53" s="337">
        <v>2672.9</v>
      </c>
      <c r="D53" s="337">
        <v>3693.9</v>
      </c>
      <c r="E53" s="337">
        <v>5483.7</v>
      </c>
      <c r="F53" s="337">
        <v>6416.5</v>
      </c>
    </row>
    <row r="54" spans="1:6">
      <c r="A54" s="151" t="s">
        <v>596</v>
      </c>
      <c r="B54" s="337">
        <f>ROUND(B53/Макроэкономика!D$9,1)</f>
        <v>78.900000000000006</v>
      </c>
      <c r="C54" s="337">
        <f>ROUND(C53/Макроэкономика!E$9,1)</f>
        <v>108.9</v>
      </c>
      <c r="D54" s="337">
        <f>ROUND(D53/Макроэкономика!F$9,1)</f>
        <v>125.7</v>
      </c>
      <c r="E54" s="337">
        <f>ROUND(E53/Макроэкономика!G$9,1)</f>
        <v>181.3</v>
      </c>
      <c r="F54" s="337">
        <f>ROUND(F53/Макроэкономика!H$9,1)</f>
        <v>210.5</v>
      </c>
    </row>
    <row r="55" spans="1:6" ht="13.8" thickBot="1">
      <c r="A55" s="141" t="s">
        <v>597</v>
      </c>
      <c r="B55" s="342">
        <f>ROUND(B53/Макроэкономика!D$13,1)</f>
        <v>59.9</v>
      </c>
      <c r="C55" s="342">
        <f>ROUND(C53/Макроэкономика!E$13,1)</f>
        <v>74.400000000000006</v>
      </c>
      <c r="D55" s="342">
        <f>ROUND(D53/Макроэкономика!F$13,1)</f>
        <v>89.1</v>
      </c>
      <c r="E55" s="342">
        <f>ROUND(E53/Макроэкономика!G$13,1)</f>
        <v>126.4</v>
      </c>
      <c r="F55" s="342">
        <f>ROUND(F53/Макроэкономика!H$13,1)</f>
        <v>159.1</v>
      </c>
    </row>
    <row r="56" spans="1:6" ht="15.75" customHeight="1">
      <c r="A56" s="586" t="s">
        <v>833</v>
      </c>
      <c r="B56" s="586"/>
      <c r="C56" s="586"/>
      <c r="D56" s="586"/>
      <c r="E56" s="586"/>
      <c r="F56" s="586"/>
    </row>
    <row r="57" spans="1:6" ht="18.75" customHeight="1">
      <c r="A57" s="226" t="s">
        <v>401</v>
      </c>
      <c r="B57" s="28"/>
      <c r="C57" s="28"/>
      <c r="D57" s="28"/>
      <c r="E57" s="28"/>
      <c r="F57" s="28"/>
    </row>
    <row r="58" spans="1:6">
      <c r="A58" s="344"/>
      <c r="B58" s="491" t="s">
        <v>656</v>
      </c>
      <c r="C58" s="491"/>
      <c r="D58" s="491"/>
      <c r="E58" s="491"/>
      <c r="F58" s="491"/>
    </row>
    <row r="59" spans="1:6">
      <c r="A59" s="344"/>
      <c r="B59" s="344">
        <v>2006</v>
      </c>
      <c r="C59" s="344">
        <v>2007</v>
      </c>
      <c r="D59" s="344">
        <v>2008</v>
      </c>
      <c r="E59" s="344">
        <v>2009</v>
      </c>
      <c r="F59" s="344">
        <v>2010</v>
      </c>
    </row>
    <row r="60" spans="1:6">
      <c r="A60" s="109"/>
      <c r="B60" s="488"/>
      <c r="C60" s="488"/>
      <c r="D60" s="488"/>
      <c r="E60" s="488"/>
      <c r="F60" s="24"/>
    </row>
    <row r="61" spans="1:6" ht="13.8" thickBot="1">
      <c r="A61" s="71" t="s">
        <v>402</v>
      </c>
      <c r="B61" s="345">
        <v>316.3</v>
      </c>
      <c r="C61" s="346">
        <v>307</v>
      </c>
      <c r="D61" s="346">
        <v>287</v>
      </c>
      <c r="E61" s="346">
        <v>262.60000000000002</v>
      </c>
      <c r="F61" s="346">
        <v>262.10000000000002</v>
      </c>
    </row>
    <row r="62" spans="1:6">
      <c r="A62" s="347" t="s">
        <v>197</v>
      </c>
      <c r="B62" s="348"/>
      <c r="C62" s="349"/>
      <c r="D62" s="349"/>
      <c r="E62" s="349"/>
      <c r="F62" s="349"/>
    </row>
    <row r="63" spans="1:6">
      <c r="A63" s="350" t="s">
        <v>403</v>
      </c>
      <c r="B63" s="351">
        <v>6.6</v>
      </c>
      <c r="C63" s="352">
        <v>5.4</v>
      </c>
      <c r="D63" s="352">
        <v>5.8</v>
      </c>
      <c r="E63" s="352">
        <v>5.4</v>
      </c>
      <c r="F63" s="352">
        <v>5.6</v>
      </c>
    </row>
    <row r="64" spans="1:6">
      <c r="A64" s="350" t="s">
        <v>404</v>
      </c>
      <c r="B64" s="351">
        <v>3.2</v>
      </c>
      <c r="C64" s="352">
        <v>4.3</v>
      </c>
      <c r="D64" s="352">
        <v>3.4</v>
      </c>
      <c r="E64" s="352">
        <v>0.5</v>
      </c>
      <c r="F64" s="352">
        <v>0.5</v>
      </c>
    </row>
    <row r="65" spans="1:6">
      <c r="A65" s="350" t="s">
        <v>805</v>
      </c>
      <c r="B65" s="351">
        <v>4.9000000000000004</v>
      </c>
      <c r="C65" s="352">
        <v>4.7</v>
      </c>
      <c r="D65" s="352">
        <v>4.8</v>
      </c>
      <c r="E65" s="352">
        <v>4.4000000000000004</v>
      </c>
      <c r="F65" s="352">
        <v>4.8</v>
      </c>
    </row>
    <row r="66" spans="1:6">
      <c r="A66" s="350" t="s">
        <v>1025</v>
      </c>
      <c r="B66" s="351">
        <v>10</v>
      </c>
      <c r="C66" s="352">
        <v>10.1</v>
      </c>
      <c r="D66" s="352">
        <v>10.4</v>
      </c>
      <c r="E66" s="352">
        <v>8.3000000000000007</v>
      </c>
      <c r="F66" s="352">
        <v>8.9</v>
      </c>
    </row>
    <row r="67" spans="1:6">
      <c r="A67" s="350" t="s">
        <v>806</v>
      </c>
      <c r="B67" s="351">
        <v>34.4</v>
      </c>
      <c r="C67" s="352">
        <v>34.5</v>
      </c>
      <c r="D67" s="352">
        <v>37.9</v>
      </c>
      <c r="E67" s="352">
        <v>33.5</v>
      </c>
      <c r="F67" s="352">
        <v>35.299999999999997</v>
      </c>
    </row>
    <row r="68" spans="1:6">
      <c r="A68" s="350" t="s">
        <v>807</v>
      </c>
      <c r="B68" s="351">
        <v>2.7</v>
      </c>
      <c r="C68" s="352">
        <v>3.1</v>
      </c>
      <c r="D68" s="352">
        <v>2.8</v>
      </c>
      <c r="E68" s="352">
        <v>2.1</v>
      </c>
      <c r="F68" s="352">
        <v>2.1</v>
      </c>
    </row>
    <row r="69" spans="1:6">
      <c r="A69" s="350" t="s">
        <v>808</v>
      </c>
      <c r="B69" s="351">
        <v>22.1</v>
      </c>
      <c r="C69" s="352">
        <v>22</v>
      </c>
      <c r="D69" s="352">
        <v>22.4</v>
      </c>
      <c r="E69" s="352">
        <v>19.100000000000001</v>
      </c>
      <c r="F69" s="352">
        <v>13.1</v>
      </c>
    </row>
    <row r="70" spans="1:6">
      <c r="A70" s="350" t="s">
        <v>809</v>
      </c>
      <c r="B70" s="351">
        <v>0.4</v>
      </c>
      <c r="C70" s="352">
        <v>0.4</v>
      </c>
      <c r="D70" s="352">
        <v>0.3</v>
      </c>
      <c r="E70" s="352">
        <v>0.3</v>
      </c>
      <c r="F70" s="352">
        <v>0.3</v>
      </c>
    </row>
    <row r="71" spans="1:6">
      <c r="A71" s="350" t="s">
        <v>810</v>
      </c>
      <c r="B71" s="351">
        <v>4.7</v>
      </c>
      <c r="C71" s="352">
        <v>5.5</v>
      </c>
      <c r="D71" s="352">
        <v>5.3</v>
      </c>
      <c r="E71" s="352">
        <v>4.3</v>
      </c>
      <c r="F71" s="352">
        <v>4.3</v>
      </c>
    </row>
    <row r="72" spans="1:6">
      <c r="A72" s="350" t="s">
        <v>811</v>
      </c>
      <c r="B72" s="351">
        <v>19.899999999999999</v>
      </c>
      <c r="C72" s="352">
        <v>23.4</v>
      </c>
      <c r="D72" s="352">
        <v>23.8</v>
      </c>
      <c r="E72" s="352">
        <v>20</v>
      </c>
      <c r="F72" s="352">
        <v>18</v>
      </c>
    </row>
    <row r="73" spans="1:6">
      <c r="A73" s="350" t="s">
        <v>812</v>
      </c>
      <c r="B73" s="351">
        <v>8.6999999999999993</v>
      </c>
      <c r="C73" s="352">
        <v>15.2</v>
      </c>
      <c r="D73" s="352">
        <v>7.7</v>
      </c>
      <c r="E73" s="352">
        <v>11.9</v>
      </c>
      <c r="F73" s="352">
        <v>10.7</v>
      </c>
    </row>
    <row r="74" spans="1:6">
      <c r="A74" s="350" t="s">
        <v>813</v>
      </c>
      <c r="B74" s="351">
        <v>0.4</v>
      </c>
      <c r="C74" s="352">
        <v>0.3</v>
      </c>
      <c r="D74" s="352">
        <v>0.3</v>
      </c>
      <c r="E74" s="352">
        <v>0.2</v>
      </c>
      <c r="F74" s="352">
        <v>0.2</v>
      </c>
    </row>
    <row r="75" spans="1:6">
      <c r="A75" s="350" t="s">
        <v>814</v>
      </c>
      <c r="B75" s="351">
        <v>2.7</v>
      </c>
      <c r="C75" s="352">
        <v>2.8</v>
      </c>
      <c r="D75" s="352">
        <v>2.9</v>
      </c>
      <c r="E75" s="352">
        <v>2.2000000000000002</v>
      </c>
      <c r="F75" s="352">
        <v>2.2999999999999998</v>
      </c>
    </row>
    <row r="76" spans="1:6">
      <c r="A76" s="350" t="s">
        <v>815</v>
      </c>
      <c r="B76" s="351">
        <v>1.1000000000000001</v>
      </c>
      <c r="C76" s="352">
        <v>1.1000000000000001</v>
      </c>
      <c r="D76" s="352">
        <v>1.2</v>
      </c>
      <c r="E76" s="352">
        <v>1.1000000000000001</v>
      </c>
      <c r="F76" s="352">
        <v>1.1000000000000001</v>
      </c>
    </row>
    <row r="77" spans="1:6">
      <c r="A77" s="350" t="s">
        <v>816</v>
      </c>
      <c r="B77" s="351">
        <v>7.4</v>
      </c>
      <c r="C77" s="352">
        <v>7.2</v>
      </c>
      <c r="D77" s="352">
        <v>7.9</v>
      </c>
      <c r="E77" s="352">
        <v>7</v>
      </c>
      <c r="F77" s="352">
        <v>9</v>
      </c>
    </row>
    <row r="78" spans="1:6">
      <c r="A78" s="350" t="s">
        <v>817</v>
      </c>
      <c r="B78" s="351">
        <v>8.8000000000000007</v>
      </c>
      <c r="C78" s="352">
        <v>7.5</v>
      </c>
      <c r="D78" s="352">
        <v>8.9</v>
      </c>
      <c r="E78" s="352">
        <v>7.6</v>
      </c>
      <c r="F78" s="352">
        <v>6.9</v>
      </c>
    </row>
    <row r="79" spans="1:6">
      <c r="A79" s="350" t="s">
        <v>818</v>
      </c>
      <c r="B79" s="351">
        <v>0.1</v>
      </c>
      <c r="C79" s="352">
        <v>0.1</v>
      </c>
      <c r="D79" s="352">
        <v>0.1</v>
      </c>
      <c r="E79" s="352">
        <v>0.1</v>
      </c>
      <c r="F79" s="352">
        <v>0.1</v>
      </c>
    </row>
    <row r="80" spans="1:6">
      <c r="A80" s="350" t="s">
        <v>819</v>
      </c>
      <c r="B80" s="351">
        <v>7.7</v>
      </c>
      <c r="C80" s="352">
        <v>7</v>
      </c>
      <c r="D80" s="352">
        <v>7.9</v>
      </c>
      <c r="E80" s="352">
        <v>9</v>
      </c>
      <c r="F80" s="352">
        <v>11.8</v>
      </c>
    </row>
    <row r="81" spans="1:6">
      <c r="A81" s="350" t="s">
        <v>820</v>
      </c>
      <c r="B81" s="351">
        <v>5.5</v>
      </c>
      <c r="C81" s="352">
        <v>4.5</v>
      </c>
      <c r="D81" s="352">
        <v>4.2</v>
      </c>
      <c r="E81" s="352">
        <v>2.5</v>
      </c>
      <c r="F81" s="352">
        <v>2.6</v>
      </c>
    </row>
    <row r="82" spans="1:6">
      <c r="A82" s="350" t="s">
        <v>821</v>
      </c>
      <c r="B82" s="351">
        <v>2.1</v>
      </c>
      <c r="C82" s="352">
        <v>2.1</v>
      </c>
      <c r="D82" s="352">
        <v>2.2000000000000002</v>
      </c>
      <c r="E82" s="352">
        <v>1.7</v>
      </c>
      <c r="F82" s="352">
        <v>2.1</v>
      </c>
    </row>
    <row r="83" spans="1:6">
      <c r="A83" s="350" t="s">
        <v>822</v>
      </c>
      <c r="B83" s="351">
        <v>7</v>
      </c>
      <c r="C83" s="352">
        <v>6.2</v>
      </c>
      <c r="D83" s="352">
        <v>6.2</v>
      </c>
      <c r="E83" s="352">
        <v>5.4</v>
      </c>
      <c r="F83" s="352">
        <v>5.8</v>
      </c>
    </row>
    <row r="84" spans="1:6">
      <c r="A84" s="350" t="s">
        <v>823</v>
      </c>
      <c r="B84" s="351">
        <v>0.7</v>
      </c>
      <c r="C84" s="352">
        <v>0.6</v>
      </c>
      <c r="D84" s="352">
        <v>0.6</v>
      </c>
      <c r="E84" s="352">
        <v>0.5</v>
      </c>
      <c r="F84" s="352">
        <v>0.5</v>
      </c>
    </row>
    <row r="85" spans="1:6">
      <c r="A85" s="350" t="s">
        <v>824</v>
      </c>
      <c r="B85" s="351">
        <v>0.4</v>
      </c>
      <c r="C85" s="352">
        <v>0.5</v>
      </c>
      <c r="D85" s="352">
        <v>0.6</v>
      </c>
      <c r="E85" s="352">
        <v>1.2</v>
      </c>
      <c r="F85" s="352">
        <v>2.1</v>
      </c>
    </row>
    <row r="86" spans="1:6" ht="13.8" thickBot="1">
      <c r="A86" s="353" t="s">
        <v>1029</v>
      </c>
      <c r="B86" s="354">
        <v>161.5</v>
      </c>
      <c r="C86" s="355">
        <v>168.5</v>
      </c>
      <c r="D86" s="355">
        <v>167.6</v>
      </c>
      <c r="E86" s="355">
        <f>SUM(E63:E85)</f>
        <v>148.29999999999998</v>
      </c>
      <c r="F86" s="355">
        <f>SUM(F63:F85)</f>
        <v>148.1</v>
      </c>
    </row>
    <row r="87" spans="1:6">
      <c r="A87" s="356" t="s">
        <v>595</v>
      </c>
      <c r="B87" s="357"/>
      <c r="C87" s="358"/>
      <c r="D87" s="358"/>
      <c r="E87" s="358"/>
      <c r="F87" s="358"/>
    </row>
    <row r="88" spans="1:6">
      <c r="A88" s="359" t="s">
        <v>1023</v>
      </c>
      <c r="B88" s="315">
        <v>1.7</v>
      </c>
      <c r="C88" s="360">
        <v>1.9</v>
      </c>
      <c r="D88" s="360">
        <v>2.1</v>
      </c>
      <c r="E88" s="360">
        <v>1.7</v>
      </c>
      <c r="F88" s="360">
        <v>1.4</v>
      </c>
    </row>
    <row r="89" spans="1:6">
      <c r="A89" s="359" t="s">
        <v>825</v>
      </c>
      <c r="B89" s="315">
        <v>4</v>
      </c>
      <c r="C89" s="360">
        <v>0</v>
      </c>
      <c r="D89" s="360">
        <v>0</v>
      </c>
      <c r="E89" s="360">
        <v>0</v>
      </c>
      <c r="F89" s="360">
        <v>0</v>
      </c>
    </row>
    <row r="90" spans="1:6">
      <c r="A90" s="359" t="s">
        <v>826</v>
      </c>
      <c r="B90" s="315">
        <v>20.5</v>
      </c>
      <c r="C90" s="360">
        <v>20.6</v>
      </c>
      <c r="D90" s="360">
        <v>21.1</v>
      </c>
      <c r="E90" s="360">
        <v>17.600000000000001</v>
      </c>
      <c r="F90" s="360">
        <v>21.6</v>
      </c>
    </row>
    <row r="91" spans="1:6">
      <c r="A91" s="359" t="s">
        <v>827</v>
      </c>
      <c r="B91" s="315">
        <v>0.7</v>
      </c>
      <c r="C91" s="360">
        <v>0.9</v>
      </c>
      <c r="D91" s="360">
        <v>0.6</v>
      </c>
      <c r="E91" s="360">
        <v>0.8</v>
      </c>
      <c r="F91" s="360">
        <v>0.4</v>
      </c>
    </row>
    <row r="92" spans="1:6">
      <c r="A92" s="359" t="s">
        <v>828</v>
      </c>
      <c r="B92" s="315">
        <v>1.9</v>
      </c>
      <c r="C92" s="360">
        <v>1.2</v>
      </c>
      <c r="D92" s="360">
        <v>0.7</v>
      </c>
      <c r="E92" s="360">
        <v>0.1</v>
      </c>
      <c r="F92" s="360">
        <v>0.2</v>
      </c>
    </row>
    <row r="93" spans="1:6">
      <c r="A93" s="359" t="s">
        <v>829</v>
      </c>
      <c r="B93" s="315">
        <v>6.5</v>
      </c>
      <c r="C93" s="360">
        <v>10</v>
      </c>
      <c r="D93" s="360">
        <v>9.6</v>
      </c>
      <c r="E93" s="360">
        <v>3.1</v>
      </c>
      <c r="F93" s="360">
        <v>3.4</v>
      </c>
    </row>
    <row r="94" spans="1:6">
      <c r="A94" s="359" t="s">
        <v>780</v>
      </c>
      <c r="B94" s="315">
        <v>1.4</v>
      </c>
      <c r="C94" s="360">
        <v>1</v>
      </c>
      <c r="D94" s="360">
        <v>0.7</v>
      </c>
      <c r="E94" s="360">
        <v>1.1000000000000001</v>
      </c>
      <c r="F94" s="360">
        <v>0.7</v>
      </c>
    </row>
    <row r="95" spans="1:6">
      <c r="A95" s="359" t="s">
        <v>830</v>
      </c>
      <c r="B95" s="315">
        <v>2.8</v>
      </c>
      <c r="C95" s="360">
        <v>3.4</v>
      </c>
      <c r="D95" s="360">
        <v>2.8</v>
      </c>
      <c r="E95" s="360">
        <v>2.5</v>
      </c>
      <c r="F95" s="360">
        <v>2.8</v>
      </c>
    </row>
    <row r="96" spans="1:6">
      <c r="A96" s="359" t="s">
        <v>831</v>
      </c>
      <c r="B96" s="315">
        <v>2.5</v>
      </c>
      <c r="C96" s="360">
        <v>2.7</v>
      </c>
      <c r="D96" s="360">
        <v>2.7</v>
      </c>
      <c r="E96" s="360">
        <v>3</v>
      </c>
      <c r="F96" s="360">
        <v>3.2</v>
      </c>
    </row>
    <row r="97" spans="1:6">
      <c r="A97" s="359" t="s">
        <v>832</v>
      </c>
      <c r="B97" s="315">
        <v>59</v>
      </c>
      <c r="C97" s="360">
        <v>59.2</v>
      </c>
      <c r="D97" s="360">
        <v>56.2</v>
      </c>
      <c r="E97" s="360">
        <v>37.799999999999997</v>
      </c>
      <c r="F97" s="360">
        <v>36.5</v>
      </c>
    </row>
    <row r="98" spans="1:6" ht="13.8" thickBot="1">
      <c r="A98" s="353" t="s">
        <v>1029</v>
      </c>
      <c r="B98" s="354">
        <v>101</v>
      </c>
      <c r="C98" s="355">
        <v>100.9</v>
      </c>
      <c r="D98" s="355">
        <v>96.5</v>
      </c>
      <c r="E98" s="355">
        <f>SUM(E88:E97)</f>
        <v>67.7</v>
      </c>
      <c r="F98" s="355">
        <f>SUM(F88:F97)</f>
        <v>70.199999999999989</v>
      </c>
    </row>
    <row r="99" spans="1:6" ht="13.8" thickBot="1">
      <c r="A99" s="361" t="s">
        <v>1029</v>
      </c>
      <c r="B99" s="327">
        <v>578.79999999999995</v>
      </c>
      <c r="C99" s="362">
        <v>576.4</v>
      </c>
      <c r="D99" s="362">
        <v>551.1</v>
      </c>
      <c r="E99" s="362">
        <f>E61+E86+E98</f>
        <v>478.59999999999997</v>
      </c>
      <c r="F99" s="362">
        <f>F61+F86+F98</f>
        <v>480.40000000000003</v>
      </c>
    </row>
    <row r="100" spans="1:6" ht="13.8" thickTop="1">
      <c r="A100" s="363"/>
      <c r="B100" s="345"/>
      <c r="C100" s="346"/>
      <c r="D100" s="346"/>
      <c r="E100" s="346"/>
      <c r="F100" s="346"/>
    </row>
    <row r="101" spans="1:6">
      <c r="A101" s="363"/>
      <c r="B101" s="345"/>
      <c r="C101" s="346"/>
      <c r="D101" s="346"/>
      <c r="E101" s="346"/>
      <c r="F101" s="346"/>
    </row>
    <row r="102" spans="1:6">
      <c r="A102" s="364" t="s">
        <v>760</v>
      </c>
      <c r="B102" s="365"/>
      <c r="C102" s="365"/>
      <c r="D102" s="365"/>
      <c r="E102" s="365"/>
      <c r="F102" s="346"/>
    </row>
    <row r="103" spans="1:6" ht="12.75" customHeight="1">
      <c r="A103" s="366"/>
      <c r="B103" s="585" t="s">
        <v>1027</v>
      </c>
      <c r="C103" s="585"/>
      <c r="D103" s="585"/>
      <c r="E103" s="585"/>
      <c r="F103" s="585"/>
    </row>
    <row r="104" spans="1:6">
      <c r="A104" s="367"/>
      <c r="B104" s="368">
        <v>2006</v>
      </c>
      <c r="C104" s="368">
        <v>2007</v>
      </c>
      <c r="D104" s="369">
        <v>2008</v>
      </c>
      <c r="E104" s="369">
        <v>2009</v>
      </c>
      <c r="F104" s="369">
        <v>2010</v>
      </c>
    </row>
    <row r="105" spans="1:6">
      <c r="A105" s="370" t="s">
        <v>581</v>
      </c>
      <c r="B105" s="296">
        <v>0.32</v>
      </c>
      <c r="C105" s="296">
        <v>0.33</v>
      </c>
      <c r="D105" s="144">
        <v>0.47</v>
      </c>
      <c r="E105" s="144">
        <v>1.35</v>
      </c>
      <c r="F105" s="144">
        <v>1.82</v>
      </c>
    </row>
    <row r="106" spans="1:6" ht="13.8" thickBot="1">
      <c r="A106" s="469" t="s">
        <v>761</v>
      </c>
      <c r="B106" s="470">
        <v>0.44</v>
      </c>
      <c r="C106" s="470">
        <v>0.45</v>
      </c>
      <c r="D106" s="471">
        <v>0.64</v>
      </c>
      <c r="E106" s="471">
        <v>1.84</v>
      </c>
      <c r="F106" s="471">
        <v>2.4700000000000002</v>
      </c>
    </row>
    <row r="107" spans="1:6">
      <c r="A107" s="28"/>
      <c r="B107" s="365"/>
      <c r="C107" s="365"/>
      <c r="D107" s="365"/>
      <c r="E107" s="365"/>
      <c r="F107" s="365"/>
    </row>
    <row r="108" spans="1:6">
      <c r="A108" s="487" t="s">
        <v>776</v>
      </c>
      <c r="B108" s="487"/>
      <c r="C108" s="487"/>
      <c r="D108" s="487"/>
      <c r="E108" s="487"/>
      <c r="F108" s="22"/>
    </row>
    <row r="109" spans="1:6" hidden="1"/>
    <row r="110" spans="1:6" hidden="1"/>
    <row r="111" spans="1:6" hidden="1"/>
  </sheetData>
  <sheetProtection password="CAF1" sheet="1" formatCells="0" formatColumns="0" formatRows="0" insertColumns="0" insertRows="0" insertHyperlinks="0" deleteColumns="0" deleteRows="0" sort="0" autoFilter="0" pivotTables="0"/>
  <mergeCells count="13">
    <mergeCell ref="A2:E2"/>
    <mergeCell ref="B58:F58"/>
    <mergeCell ref="B42:F42"/>
    <mergeCell ref="B29:F29"/>
    <mergeCell ref="B34:F34"/>
    <mergeCell ref="B24:F24"/>
    <mergeCell ref="B22:F22"/>
    <mergeCell ref="A108:E108"/>
    <mergeCell ref="B60:E60"/>
    <mergeCell ref="B103:F103"/>
    <mergeCell ref="A39:F39"/>
    <mergeCell ref="A40:F40"/>
    <mergeCell ref="A56:F56"/>
  </mergeCells>
  <phoneticPr fontId="27" type="noConversion"/>
  <hyperlinks>
    <hyperlink ref="A108:E108" location="Титул!A1" display="Вернуться к Содержанию"/>
  </hyperlinks>
  <printOptions horizontalCentered="1"/>
  <pageMargins left="0.25" right="0.25" top="0.75" bottom="0.75" header="0.3" footer="0.3"/>
  <pageSetup paperSize="9" firstPageNumber="41" orientation="portrait" useFirstPageNumber="1" r:id="rId1"/>
  <headerFooter alignWithMargins="0">
    <oddHeader>&amp;L&amp;"Times New Roman,полужирный"Газпром в цифрах 2006-2010 гг.&amp;R&amp;"Times New Roman,полужирный"Справочник</oddHeader>
    <oddFooter>&amp;C&amp;P</oddFooter>
  </headerFooter>
  <rowBreaks count="1" manualBreakCount="1">
    <brk id="56" max="5" man="1"/>
  </rowBreaks>
  <drawing r:id="rId2"/>
</worksheet>
</file>

<file path=xl/worksheets/sheet27.xml><?xml version="1.0" encoding="utf-8"?>
<worksheet xmlns="http://schemas.openxmlformats.org/spreadsheetml/2006/main" xmlns:r="http://schemas.openxmlformats.org/officeDocument/2006/relationships">
  <sheetPr codeName="Лист27"/>
  <dimension ref="A1:G45"/>
  <sheetViews>
    <sheetView zoomScaleNormal="100" zoomScaleSheetLayoutView="100" workbookViewId="0"/>
  </sheetViews>
  <sheetFormatPr defaultColWidth="0" defaultRowHeight="13.2" zeroHeight="1" outlineLevelCol="1"/>
  <cols>
    <col min="1" max="1" width="57" style="2" customWidth="1"/>
    <col min="2" max="2" width="8.6640625" style="2" hidden="1" customWidth="1" outlineLevel="1"/>
    <col min="3" max="3" width="8.6640625" style="2" customWidth="1" collapsed="1"/>
    <col min="4" max="7" width="8.6640625" style="2" customWidth="1"/>
    <col min="8" max="16384" width="0" style="2" hidden="1"/>
  </cols>
  <sheetData>
    <row r="1" spans="1:7" ht="15.6">
      <c r="A1" s="51" t="s">
        <v>1042</v>
      </c>
      <c r="B1" s="28"/>
      <c r="C1" s="28"/>
      <c r="D1" s="28"/>
      <c r="E1" s="28"/>
      <c r="F1" s="28"/>
      <c r="G1" s="28"/>
    </row>
    <row r="2" spans="1:7" ht="17.25" customHeight="1">
      <c r="A2" s="226" t="s">
        <v>834</v>
      </c>
      <c r="B2" s="28"/>
      <c r="C2" s="28"/>
      <c r="D2" s="28"/>
      <c r="E2" s="28"/>
      <c r="F2" s="28"/>
      <c r="G2" s="28"/>
    </row>
    <row r="3" spans="1:7" ht="13.2" customHeight="1">
      <c r="A3" s="109"/>
      <c r="B3" s="488" t="s">
        <v>1027</v>
      </c>
      <c r="C3" s="488"/>
      <c r="D3" s="488"/>
      <c r="E3" s="488"/>
      <c r="F3" s="488"/>
      <c r="G3" s="488"/>
    </row>
    <row r="4" spans="1:7">
      <c r="A4" s="109"/>
      <c r="B4" s="24">
        <v>2005</v>
      </c>
      <c r="C4" s="448">
        <v>2006</v>
      </c>
      <c r="D4" s="344">
        <v>2007</v>
      </c>
      <c r="E4" s="344">
        <v>2008</v>
      </c>
      <c r="F4" s="344">
        <v>2009</v>
      </c>
      <c r="G4" s="344">
        <v>2010</v>
      </c>
    </row>
    <row r="5" spans="1:7">
      <c r="A5" s="55" t="s">
        <v>835</v>
      </c>
      <c r="B5" s="97">
        <v>444.4</v>
      </c>
      <c r="C5" s="97">
        <v>458.9</v>
      </c>
      <c r="D5" s="159">
        <v>467.1</v>
      </c>
      <c r="E5" s="159">
        <v>462.5</v>
      </c>
      <c r="F5" s="159">
        <v>432.2</v>
      </c>
      <c r="G5" s="159">
        <v>460.3</v>
      </c>
    </row>
    <row r="6" spans="1:7" ht="35.4" customHeight="1">
      <c r="A6" s="371" t="s">
        <v>601</v>
      </c>
      <c r="B6" s="97">
        <v>336.8</v>
      </c>
      <c r="C6" s="97">
        <v>348.8</v>
      </c>
      <c r="D6" s="159">
        <v>353</v>
      </c>
      <c r="E6" s="159">
        <v>349.5</v>
      </c>
      <c r="F6" s="159">
        <v>332.5</v>
      </c>
      <c r="G6" s="159">
        <v>351.7</v>
      </c>
    </row>
    <row r="7" spans="1:7" ht="13.8" thickBot="1">
      <c r="A7" s="372" t="s">
        <v>1105</v>
      </c>
      <c r="B7" s="194">
        <v>288.89999999999998</v>
      </c>
      <c r="C7" s="194">
        <v>295.10000000000002</v>
      </c>
      <c r="D7" s="194">
        <v>296.60000000000002</v>
      </c>
      <c r="E7" s="194">
        <v>290.10000000000002</v>
      </c>
      <c r="F7" s="373">
        <v>272.10000000000002</v>
      </c>
      <c r="G7" s="373">
        <v>288.10000000000002</v>
      </c>
    </row>
    <row r="8" spans="1:7" ht="25.5" customHeight="1" thickTop="1">
      <c r="A8" s="489" t="s">
        <v>836</v>
      </c>
      <c r="B8" s="489"/>
      <c r="C8" s="489"/>
      <c r="D8" s="489"/>
      <c r="E8" s="489"/>
      <c r="F8" s="489"/>
      <c r="G8" s="489"/>
    </row>
    <row r="9" spans="1:7">
      <c r="A9" s="494" t="s">
        <v>985</v>
      </c>
      <c r="B9" s="494"/>
      <c r="C9" s="494"/>
      <c r="D9" s="494"/>
      <c r="E9" s="494"/>
      <c r="F9" s="494"/>
      <c r="G9" s="494"/>
    </row>
    <row r="10" spans="1:7" ht="21" customHeight="1">
      <c r="A10" s="226" t="s">
        <v>837</v>
      </c>
      <c r="B10" s="28"/>
      <c r="C10" s="28"/>
      <c r="D10" s="28"/>
      <c r="E10" s="28"/>
      <c r="F10" s="28"/>
      <c r="G10" s="28"/>
    </row>
    <row r="11" spans="1:7" ht="13.2" customHeight="1">
      <c r="A11" s="109"/>
      <c r="B11" s="488" t="s">
        <v>1027</v>
      </c>
      <c r="C11" s="488"/>
      <c r="D11" s="488"/>
      <c r="E11" s="488"/>
      <c r="F11" s="488"/>
      <c r="G11" s="488"/>
    </row>
    <row r="12" spans="1:7">
      <c r="A12" s="109"/>
      <c r="B12" s="24">
        <v>2005</v>
      </c>
      <c r="C12" s="448">
        <v>2006</v>
      </c>
      <c r="D12" s="344">
        <v>2007</v>
      </c>
      <c r="E12" s="344">
        <v>2008</v>
      </c>
      <c r="F12" s="344">
        <v>2009</v>
      </c>
      <c r="G12" s="344">
        <v>2010</v>
      </c>
    </row>
    <row r="13" spans="1:7">
      <c r="A13" s="374"/>
      <c r="B13" s="488" t="s">
        <v>838</v>
      </c>
      <c r="C13" s="488"/>
      <c r="D13" s="488"/>
      <c r="E13" s="488"/>
      <c r="F13" s="488"/>
      <c r="G13" s="488"/>
    </row>
    <row r="14" spans="1:7">
      <c r="A14" s="55" t="s">
        <v>846</v>
      </c>
      <c r="B14" s="118">
        <v>0.38</v>
      </c>
      <c r="C14" s="118">
        <v>0.37</v>
      </c>
      <c r="D14" s="118">
        <v>0.37</v>
      </c>
      <c r="E14" s="118">
        <v>0.33</v>
      </c>
      <c r="F14" s="118">
        <v>0.31</v>
      </c>
      <c r="G14" s="118">
        <v>0.3</v>
      </c>
    </row>
    <row r="15" spans="1:7">
      <c r="A15" s="55" t="s">
        <v>792</v>
      </c>
      <c r="B15" s="118">
        <v>7.0000000000000007E-2</v>
      </c>
      <c r="C15" s="118">
        <v>0.06</v>
      </c>
      <c r="D15" s="118">
        <v>7.0000000000000007E-2</v>
      </c>
      <c r="E15" s="118">
        <v>7.0000000000000007E-2</v>
      </c>
      <c r="F15" s="118">
        <v>7.0000000000000007E-2</v>
      </c>
      <c r="G15" s="118">
        <v>7.0000000000000007E-2</v>
      </c>
    </row>
    <row r="16" spans="1:7">
      <c r="A16" s="55" t="s">
        <v>793</v>
      </c>
      <c r="B16" s="118">
        <v>7.0000000000000007E-2</v>
      </c>
      <c r="C16" s="118">
        <v>0.06</v>
      </c>
      <c r="D16" s="118">
        <v>7.0000000000000007E-2</v>
      </c>
      <c r="E16" s="118">
        <v>7.0000000000000007E-2</v>
      </c>
      <c r="F16" s="118">
        <v>7.0000000000000007E-2</v>
      </c>
      <c r="G16" s="118">
        <v>7.0000000000000007E-2</v>
      </c>
    </row>
    <row r="17" spans="1:7">
      <c r="A17" s="55" t="s">
        <v>794</v>
      </c>
      <c r="B17" s="118">
        <v>0.16</v>
      </c>
      <c r="C17" s="118">
        <v>0.15</v>
      </c>
      <c r="D17" s="118">
        <v>0.16</v>
      </c>
      <c r="E17" s="118">
        <v>0.17</v>
      </c>
      <c r="F17" s="118">
        <v>0.19</v>
      </c>
      <c r="G17" s="118">
        <v>0.19</v>
      </c>
    </row>
    <row r="18" spans="1:7">
      <c r="A18" s="55" t="s">
        <v>756</v>
      </c>
      <c r="B18" s="118">
        <v>0.1</v>
      </c>
      <c r="C18" s="118">
        <v>0.1</v>
      </c>
      <c r="D18" s="118">
        <v>0.11</v>
      </c>
      <c r="E18" s="118">
        <v>0.11</v>
      </c>
      <c r="F18" s="118">
        <v>0.14000000000000001</v>
      </c>
      <c r="G18" s="118">
        <v>0.15</v>
      </c>
    </row>
    <row r="19" spans="1:7">
      <c r="A19" s="55" t="s">
        <v>795</v>
      </c>
      <c r="B19" s="118">
        <v>0.22</v>
      </c>
      <c r="C19" s="118">
        <v>0.26</v>
      </c>
      <c r="D19" s="118">
        <v>0.22</v>
      </c>
      <c r="E19" s="118">
        <v>0.25</v>
      </c>
      <c r="F19" s="118">
        <v>0.22</v>
      </c>
      <c r="G19" s="118">
        <v>0.22</v>
      </c>
    </row>
    <row r="20" spans="1:7" ht="13.8" thickBot="1">
      <c r="A20" s="68" t="s">
        <v>580</v>
      </c>
      <c r="B20" s="375">
        <v>1</v>
      </c>
      <c r="C20" s="375">
        <v>1</v>
      </c>
      <c r="D20" s="375">
        <v>1</v>
      </c>
      <c r="E20" s="375">
        <v>1</v>
      </c>
      <c r="F20" s="375">
        <v>1</v>
      </c>
      <c r="G20" s="375">
        <f>SUM(G14:G19)</f>
        <v>1</v>
      </c>
    </row>
    <row r="21" spans="1:7" ht="13.8" thickTop="1">
      <c r="A21" s="496" t="s">
        <v>847</v>
      </c>
      <c r="B21" s="496"/>
      <c r="C21" s="496"/>
      <c r="D21" s="496"/>
      <c r="E21" s="496"/>
      <c r="F21" s="496"/>
      <c r="G21" s="496"/>
    </row>
    <row r="22" spans="1:7" ht="23.25" customHeight="1">
      <c r="A22" s="226" t="s">
        <v>839</v>
      </c>
      <c r="B22" s="28"/>
      <c r="C22" s="28"/>
      <c r="D22" s="28"/>
      <c r="E22" s="28"/>
      <c r="F22" s="28"/>
      <c r="G22" s="28"/>
    </row>
    <row r="23" spans="1:7" ht="13.2" customHeight="1">
      <c r="A23" s="109" t="s">
        <v>796</v>
      </c>
      <c r="B23" s="488" t="s">
        <v>1027</v>
      </c>
      <c r="C23" s="488"/>
      <c r="D23" s="488"/>
      <c r="E23" s="488"/>
      <c r="F23" s="488"/>
      <c r="G23" s="488"/>
    </row>
    <row r="24" spans="1:7" ht="12.75" customHeight="1">
      <c r="A24" s="109" t="s">
        <v>796</v>
      </c>
      <c r="B24" s="24">
        <v>2005</v>
      </c>
      <c r="C24" s="448">
        <v>2006</v>
      </c>
      <c r="D24" s="448">
        <v>2007</v>
      </c>
      <c r="E24" s="448">
        <v>2008</v>
      </c>
      <c r="F24" s="344">
        <v>2009</v>
      </c>
      <c r="G24" s="344">
        <v>2010</v>
      </c>
    </row>
    <row r="25" spans="1:7" ht="12.75" customHeight="1">
      <c r="A25" s="24"/>
      <c r="B25" s="488" t="s">
        <v>754</v>
      </c>
      <c r="C25" s="488"/>
      <c r="D25" s="488"/>
      <c r="E25" s="488"/>
      <c r="F25" s="488"/>
      <c r="G25" s="488"/>
    </row>
    <row r="26" spans="1:7">
      <c r="A26" s="55" t="s">
        <v>797</v>
      </c>
      <c r="B26" s="85">
        <v>1013.4</v>
      </c>
      <c r="C26" s="85">
        <v>1129.4000000000001</v>
      </c>
      <c r="D26" s="85">
        <v>1301.0999999999999</v>
      </c>
      <c r="E26" s="85">
        <v>1636</v>
      </c>
      <c r="F26" s="336">
        <v>1893.5</v>
      </c>
      <c r="G26" s="336">
        <v>2392</v>
      </c>
    </row>
    <row r="27" spans="1:7">
      <c r="A27" s="55" t="s">
        <v>798</v>
      </c>
      <c r="B27" s="85">
        <v>1064.4000000000001</v>
      </c>
      <c r="C27" s="85">
        <v>1179.8</v>
      </c>
      <c r="D27" s="85">
        <v>1353.8</v>
      </c>
      <c r="E27" s="85">
        <v>1699.2</v>
      </c>
      <c r="F27" s="336">
        <v>1970</v>
      </c>
      <c r="G27" s="336">
        <v>2495.3000000000002</v>
      </c>
    </row>
    <row r="28" spans="1:7" ht="13.8" thickBot="1">
      <c r="A28" s="376" t="s">
        <v>799</v>
      </c>
      <c r="B28" s="106">
        <v>771.3</v>
      </c>
      <c r="C28" s="106">
        <v>896.9</v>
      </c>
      <c r="D28" s="106">
        <v>1031.7</v>
      </c>
      <c r="E28" s="106">
        <v>1288.8</v>
      </c>
      <c r="F28" s="338">
        <v>1486.4</v>
      </c>
      <c r="G28" s="338">
        <v>1880.6</v>
      </c>
    </row>
    <row r="29" spans="1:7" ht="26.25" customHeight="1" thickTop="1">
      <c r="A29" s="226" t="s">
        <v>840</v>
      </c>
      <c r="B29" s="28"/>
      <c r="C29" s="28"/>
      <c r="D29" s="28"/>
      <c r="E29" s="28"/>
      <c r="F29" s="28"/>
      <c r="G29" s="28"/>
    </row>
    <row r="30" spans="1:7" ht="13.2" customHeight="1">
      <c r="A30" s="587"/>
      <c r="B30" s="507" t="s">
        <v>841</v>
      </c>
      <c r="C30" s="507"/>
      <c r="D30" s="507"/>
      <c r="E30" s="507"/>
      <c r="F30" s="507"/>
      <c r="G30" s="507"/>
    </row>
    <row r="31" spans="1:7">
      <c r="A31" s="587"/>
      <c r="B31" s="91">
        <v>2005</v>
      </c>
      <c r="C31" s="452">
        <v>2006</v>
      </c>
      <c r="D31" s="452">
        <v>2007</v>
      </c>
      <c r="E31" s="452">
        <v>2008</v>
      </c>
      <c r="F31" s="452">
        <v>2009</v>
      </c>
      <c r="G31" s="452">
        <v>2010</v>
      </c>
    </row>
    <row r="32" spans="1:7" ht="33.75" customHeight="1">
      <c r="A32" s="64" t="s">
        <v>1106</v>
      </c>
      <c r="B32" s="75">
        <v>485.8</v>
      </c>
      <c r="C32" s="75">
        <v>514.20000000000005</v>
      </c>
      <c r="D32" s="75">
        <v>544.5</v>
      </c>
      <c r="E32" s="75">
        <v>586.79999999999995</v>
      </c>
      <c r="F32" s="75">
        <v>611.79999999999995</v>
      </c>
      <c r="G32" s="299">
        <v>632.70000000000005</v>
      </c>
    </row>
    <row r="33" spans="1:7" ht="23.4">
      <c r="A33" s="64" t="s">
        <v>1044</v>
      </c>
      <c r="B33" s="75">
        <v>217.2</v>
      </c>
      <c r="C33" s="75">
        <v>222.4</v>
      </c>
      <c r="D33" s="75">
        <v>222.4</v>
      </c>
      <c r="E33" s="75">
        <v>224.7</v>
      </c>
      <c r="F33" s="75">
        <v>217.4</v>
      </c>
      <c r="G33" s="299">
        <v>225</v>
      </c>
    </row>
    <row r="34" spans="1:7" ht="25.5" customHeight="1">
      <c r="A34" s="240" t="s">
        <v>1045</v>
      </c>
      <c r="B34" s="75"/>
      <c r="C34" s="75"/>
      <c r="D34" s="75"/>
      <c r="E34" s="75"/>
      <c r="F34" s="75"/>
      <c r="G34" s="299"/>
    </row>
    <row r="35" spans="1:7">
      <c r="A35" s="224" t="s">
        <v>842</v>
      </c>
      <c r="B35" s="75">
        <v>25.1</v>
      </c>
      <c r="C35" s="75">
        <v>25.9</v>
      </c>
      <c r="D35" s="75">
        <v>26.1</v>
      </c>
      <c r="E35" s="75">
        <v>26.6</v>
      </c>
      <c r="F35" s="75">
        <v>26.7</v>
      </c>
      <c r="G35" s="299">
        <v>26.9</v>
      </c>
    </row>
    <row r="36" spans="1:7">
      <c r="A36" s="224" t="s">
        <v>843</v>
      </c>
      <c r="B36" s="75">
        <v>14.6</v>
      </c>
      <c r="C36" s="75">
        <v>15.9</v>
      </c>
      <c r="D36" s="75">
        <v>16.2</v>
      </c>
      <c r="E36" s="75">
        <v>17.600000000000001</v>
      </c>
      <c r="F36" s="75">
        <v>18.899999999999999</v>
      </c>
      <c r="G36" s="299">
        <v>19.7</v>
      </c>
    </row>
    <row r="37" spans="1:7">
      <c r="A37" s="224" t="s">
        <v>844</v>
      </c>
      <c r="B37" s="98">
        <v>34.1</v>
      </c>
      <c r="C37" s="98">
        <v>35.799999999999997</v>
      </c>
      <c r="D37" s="98">
        <v>36.4</v>
      </c>
      <c r="E37" s="98">
        <v>39</v>
      </c>
      <c r="F37" s="98">
        <v>40.6</v>
      </c>
      <c r="G37" s="299">
        <v>41.4</v>
      </c>
    </row>
    <row r="38" spans="1:7" ht="13.8" thickBot="1">
      <c r="A38" s="377" t="s">
        <v>845</v>
      </c>
      <c r="B38" s="229">
        <v>159.80000000000001</v>
      </c>
      <c r="C38" s="229">
        <v>173.4</v>
      </c>
      <c r="D38" s="229">
        <v>181.8</v>
      </c>
      <c r="E38" s="229">
        <v>202.5</v>
      </c>
      <c r="F38" s="229">
        <v>211.6</v>
      </c>
      <c r="G38" s="378">
        <v>218.2</v>
      </c>
    </row>
    <row r="39" spans="1:7" ht="23.4" customHeight="1">
      <c r="A39" s="371" t="s">
        <v>1046</v>
      </c>
      <c r="B39" s="75">
        <v>9.1999999999999993</v>
      </c>
      <c r="C39" s="75">
        <v>17.899999999999999</v>
      </c>
      <c r="D39" s="75">
        <v>20.8</v>
      </c>
      <c r="E39" s="75">
        <v>24.2</v>
      </c>
      <c r="F39" s="75">
        <v>19.3</v>
      </c>
      <c r="G39" s="299">
        <v>25.6</v>
      </c>
    </row>
    <row r="40" spans="1:7" ht="25.5" customHeight="1">
      <c r="A40" s="379" t="s">
        <v>1047</v>
      </c>
      <c r="B40" s="189">
        <v>0.81399999999999995</v>
      </c>
      <c r="C40" s="189">
        <v>0.82499999999999996</v>
      </c>
      <c r="D40" s="189">
        <v>0.80400000000000005</v>
      </c>
      <c r="E40" s="189">
        <v>0.77900000000000003</v>
      </c>
      <c r="F40" s="189">
        <v>0.78200000000000003</v>
      </c>
      <c r="G40" s="188">
        <v>0.77900000000000003</v>
      </c>
    </row>
    <row r="41" spans="1:7">
      <c r="A41" s="224" t="s">
        <v>270</v>
      </c>
      <c r="B41" s="189">
        <v>0.84099999999999997</v>
      </c>
      <c r="C41" s="189">
        <v>0.84699999999999998</v>
      </c>
      <c r="D41" s="189">
        <v>0.83099999999999996</v>
      </c>
      <c r="E41" s="189">
        <v>0.81399999999999995</v>
      </c>
      <c r="F41" s="189">
        <v>0.81499999999999995</v>
      </c>
      <c r="G41" s="188">
        <v>0.82399999999999995</v>
      </c>
    </row>
    <row r="42" spans="1:7" ht="13.8" thickBot="1">
      <c r="A42" s="308" t="s">
        <v>271</v>
      </c>
      <c r="B42" s="380">
        <v>0.75700000000000001</v>
      </c>
      <c r="C42" s="380">
        <v>0.77500000000000002</v>
      </c>
      <c r="D42" s="380">
        <v>0.74299999999999999</v>
      </c>
      <c r="E42" s="380">
        <v>0.70399999999999996</v>
      </c>
      <c r="F42" s="380">
        <v>0.71</v>
      </c>
      <c r="G42" s="381">
        <v>0.68500000000000005</v>
      </c>
    </row>
    <row r="43" spans="1:7" ht="13.8" thickTop="1">
      <c r="A43" s="588" t="s">
        <v>982</v>
      </c>
      <c r="B43" s="588"/>
      <c r="C43" s="588"/>
      <c r="D43" s="588"/>
      <c r="E43" s="588"/>
      <c r="F43" s="588"/>
      <c r="G43" s="588"/>
    </row>
    <row r="44" spans="1:7">
      <c r="A44" s="157"/>
      <c r="B44" s="157"/>
      <c r="C44" s="157"/>
      <c r="D44" s="157"/>
      <c r="E44" s="157"/>
      <c r="F44" s="157"/>
      <c r="G44" s="157"/>
    </row>
    <row r="45" spans="1:7">
      <c r="A45" s="487" t="s">
        <v>776</v>
      </c>
      <c r="B45" s="487"/>
      <c r="C45" s="487"/>
      <c r="D45" s="487"/>
      <c r="E45" s="487"/>
      <c r="F45" s="487"/>
      <c r="G45" s="22"/>
    </row>
  </sheetData>
  <sheetProtection password="CAF1" sheet="1" formatCells="0" formatColumns="0" formatRows="0" insertColumns="0" insertRows="0" insertHyperlinks="0" deleteColumns="0" deleteRows="0" sort="0" autoFilter="0" pivotTables="0"/>
  <mergeCells count="12">
    <mergeCell ref="B3:G3"/>
    <mergeCell ref="B11:G11"/>
    <mergeCell ref="B23:G23"/>
    <mergeCell ref="B30:G30"/>
    <mergeCell ref="B25:G25"/>
    <mergeCell ref="B13:G13"/>
    <mergeCell ref="A45:F45"/>
    <mergeCell ref="A30:A31"/>
    <mergeCell ref="A21:G21"/>
    <mergeCell ref="A8:G8"/>
    <mergeCell ref="A9:G9"/>
    <mergeCell ref="A43:G43"/>
  </mergeCells>
  <phoneticPr fontId="27" type="noConversion"/>
  <hyperlinks>
    <hyperlink ref="A45:F45" location="Титул!A1" display="Вернуться к Содержанию"/>
  </hyperlinks>
  <printOptions horizontalCentered="1"/>
  <pageMargins left="0.25" right="0.25" top="0.75" bottom="0.75" header="0.3" footer="0.3"/>
  <pageSetup paperSize="9" firstPageNumber="43" orientation="portrait" useFirstPageNumber="1" r:id="rId1"/>
  <headerFooter alignWithMargins="0">
    <oddHeader>&amp;L&amp;"Times New Roman,полужирный"Газпром в цифрах 2006-2010 гг.&amp;R&amp;"Times New Roman,полужирный"Справочник</oddHeader>
    <oddFooter>&amp;C&amp;P</oddFooter>
  </headerFooter>
</worksheet>
</file>

<file path=xl/worksheets/sheet28.xml><?xml version="1.0" encoding="utf-8"?>
<worksheet xmlns="http://schemas.openxmlformats.org/spreadsheetml/2006/main" xmlns:r="http://schemas.openxmlformats.org/officeDocument/2006/relationships">
  <sheetPr codeName="Лист28"/>
  <dimension ref="A1:E55"/>
  <sheetViews>
    <sheetView zoomScaleNormal="100" zoomScaleSheetLayoutView="100" workbookViewId="0"/>
  </sheetViews>
  <sheetFormatPr defaultColWidth="0" defaultRowHeight="13.2" zeroHeight="1"/>
  <cols>
    <col min="1" max="1" width="66" style="2" customWidth="1"/>
    <col min="2" max="5" width="8.6640625" style="2" customWidth="1"/>
    <col min="6" max="16384" width="0" style="2" hidden="1"/>
  </cols>
  <sheetData>
    <row r="1" spans="1:5" ht="15.6">
      <c r="A1" s="51" t="s">
        <v>344</v>
      </c>
      <c r="B1" s="28"/>
      <c r="C1" s="28"/>
      <c r="D1" s="28"/>
      <c r="E1" s="28"/>
    </row>
    <row r="2" spans="1:5" ht="16.5" customHeight="1">
      <c r="A2" s="226" t="s">
        <v>602</v>
      </c>
      <c r="B2" s="28"/>
      <c r="C2" s="28"/>
      <c r="D2" s="28"/>
      <c r="E2" s="28"/>
    </row>
    <row r="3" spans="1:5" ht="12.75" customHeight="1">
      <c r="A3" s="497"/>
      <c r="B3" s="488" t="s">
        <v>1027</v>
      </c>
      <c r="C3" s="488"/>
      <c r="D3" s="488"/>
      <c r="E3" s="488"/>
    </row>
    <row r="4" spans="1:5">
      <c r="A4" s="497"/>
      <c r="B4" s="448">
        <v>2007</v>
      </c>
      <c r="C4" s="448">
        <v>2008</v>
      </c>
      <c r="D4" s="448">
        <v>2009</v>
      </c>
      <c r="E4" s="448">
        <v>2010</v>
      </c>
    </row>
    <row r="5" spans="1:5" ht="11.25" customHeight="1">
      <c r="A5" s="441" t="s">
        <v>848</v>
      </c>
      <c r="B5" s="55"/>
      <c r="C5" s="55"/>
      <c r="D5" s="55"/>
      <c r="E5" s="55"/>
    </row>
    <row r="6" spans="1:5" ht="12" customHeight="1">
      <c r="A6" s="382" t="s">
        <v>788</v>
      </c>
      <c r="B6" s="104">
        <v>7.3</v>
      </c>
      <c r="C6" s="104">
        <v>11.8</v>
      </c>
      <c r="D6" s="104">
        <v>9.6999999999999993</v>
      </c>
      <c r="E6" s="104">
        <v>9.8000000000000007</v>
      </c>
    </row>
    <row r="7" spans="1:5" ht="12" customHeight="1">
      <c r="A7" s="382" t="s">
        <v>1024</v>
      </c>
      <c r="B7" s="104">
        <v>15.6</v>
      </c>
      <c r="C7" s="104">
        <v>16.7</v>
      </c>
      <c r="D7" s="97">
        <v>16.100000000000001</v>
      </c>
      <c r="E7" s="97">
        <v>16.3</v>
      </c>
    </row>
    <row r="8" spans="1:5" ht="12" customHeight="1">
      <c r="A8" s="382" t="s">
        <v>789</v>
      </c>
      <c r="B8" s="104">
        <v>2.5</v>
      </c>
      <c r="C8" s="104">
        <v>3.3</v>
      </c>
      <c r="D8" s="104">
        <v>3.3</v>
      </c>
      <c r="E8" s="97">
        <v>3</v>
      </c>
    </row>
    <row r="9" spans="1:5" ht="12.75" customHeight="1" thickBot="1">
      <c r="A9" s="383" t="s">
        <v>580</v>
      </c>
      <c r="B9" s="384">
        <v>25.4</v>
      </c>
      <c r="C9" s="384">
        <v>31.8</v>
      </c>
      <c r="D9" s="385">
        <f>SUM(D6:D8)</f>
        <v>29.1</v>
      </c>
      <c r="E9" s="385">
        <f>SUM(E6:E8)</f>
        <v>29.1</v>
      </c>
    </row>
    <row r="10" spans="1:5" s="3" customFormat="1" ht="21.75" customHeight="1">
      <c r="A10" s="441" t="s">
        <v>1004</v>
      </c>
      <c r="B10" s="55"/>
      <c r="C10" s="104"/>
      <c r="D10" s="55"/>
      <c r="E10" s="55"/>
    </row>
    <row r="11" spans="1:5" ht="12" customHeight="1">
      <c r="A11" s="382" t="s">
        <v>788</v>
      </c>
      <c r="B11" s="237">
        <v>47129</v>
      </c>
      <c r="C11" s="237">
        <v>81468</v>
      </c>
      <c r="D11" s="237">
        <v>56771</v>
      </c>
      <c r="E11" s="237">
        <v>74697</v>
      </c>
    </row>
    <row r="12" spans="1:5" ht="12" customHeight="1">
      <c r="A12" s="382" t="s">
        <v>1024</v>
      </c>
      <c r="B12" s="237">
        <v>117148</v>
      </c>
      <c r="C12" s="237">
        <v>161389</v>
      </c>
      <c r="D12" s="237">
        <v>131714</v>
      </c>
      <c r="E12" s="237">
        <v>146959</v>
      </c>
    </row>
    <row r="13" spans="1:5" ht="12" customHeight="1">
      <c r="A13" s="382" t="s">
        <v>789</v>
      </c>
      <c r="B13" s="237">
        <v>19586</v>
      </c>
      <c r="C13" s="237">
        <v>26570</v>
      </c>
      <c r="D13" s="237">
        <v>26562</v>
      </c>
      <c r="E13" s="237">
        <v>25988</v>
      </c>
    </row>
    <row r="14" spans="1:5" ht="12.75" customHeight="1" thickBot="1">
      <c r="A14" s="383" t="s">
        <v>580</v>
      </c>
      <c r="B14" s="386">
        <v>183863</v>
      </c>
      <c r="C14" s="386">
        <v>269427</v>
      </c>
      <c r="D14" s="386">
        <v>215047</v>
      </c>
      <c r="E14" s="386">
        <f>SUM(E11:E13)</f>
        <v>247644</v>
      </c>
    </row>
    <row r="15" spans="1:5" ht="21.75" customHeight="1">
      <c r="A15" s="441" t="s">
        <v>955</v>
      </c>
      <c r="B15" s="104"/>
      <c r="C15" s="104"/>
      <c r="D15" s="104"/>
      <c r="E15" s="104"/>
    </row>
    <row r="16" spans="1:5" ht="12" customHeight="1">
      <c r="A16" s="382" t="s">
        <v>788</v>
      </c>
      <c r="B16" s="237">
        <f>ROUNDDOWN(B11/Макроэкономика!E$9,0)</f>
        <v>1919</v>
      </c>
      <c r="C16" s="237">
        <f>ROUND(C11/Макроэкономика!F$9,0)</f>
        <v>2773</v>
      </c>
      <c r="D16" s="237">
        <f>ROUND(D11/Макроэкономика!G$9,0)</f>
        <v>1877</v>
      </c>
      <c r="E16" s="237">
        <f>ROUND(E11/Макроэкономика!H$9,0)</f>
        <v>2451</v>
      </c>
    </row>
    <row r="17" spans="1:5" ht="12" customHeight="1">
      <c r="A17" s="382" t="s">
        <v>1024</v>
      </c>
      <c r="B17" s="237">
        <f>ROUND(B12/Макроэкономика!E$9,0)</f>
        <v>4772</v>
      </c>
      <c r="C17" s="237">
        <f>ROUND(C12/Макроэкономика!F$9,0)</f>
        <v>5493</v>
      </c>
      <c r="D17" s="237">
        <f>ROUND(D12/Макроэкономика!G$9,0)</f>
        <v>4356</v>
      </c>
      <c r="E17" s="237">
        <f>ROUND(E12/Макроэкономика!H$9,0)</f>
        <v>4821</v>
      </c>
    </row>
    <row r="18" spans="1:5" ht="12" customHeight="1">
      <c r="A18" s="382" t="s">
        <v>789</v>
      </c>
      <c r="B18" s="237">
        <f>ROUND(B13/Макроэкономика!E$9,0)</f>
        <v>798</v>
      </c>
      <c r="C18" s="237">
        <f>ROUND(C13/Макроэкономика!F$9,0)</f>
        <v>904</v>
      </c>
      <c r="D18" s="237">
        <f>ROUND(D13/Макроэкономика!G$9,0)</f>
        <v>878</v>
      </c>
      <c r="E18" s="237">
        <f>ROUND(E13/Макроэкономика!H$9,0)</f>
        <v>853</v>
      </c>
    </row>
    <row r="19" spans="1:5" ht="12.75" customHeight="1" thickBot="1">
      <c r="A19" s="383" t="s">
        <v>580</v>
      </c>
      <c r="B19" s="386">
        <f>ROUND(B14/Макроэкономика!E$9,0)</f>
        <v>7489</v>
      </c>
      <c r="C19" s="386">
        <f>ROUND(C14/Макроэкономика!F$9,0)</f>
        <v>9170</v>
      </c>
      <c r="D19" s="386">
        <f>ROUND(D14/Макроэкономика!G$9,0)</f>
        <v>7111</v>
      </c>
      <c r="E19" s="386">
        <f>ROUND(E14/Макроэкономика!H$9,0)</f>
        <v>8125</v>
      </c>
    </row>
    <row r="20" spans="1:5" ht="21.75" customHeight="1">
      <c r="A20" s="441" t="s">
        <v>264</v>
      </c>
      <c r="B20" s="104"/>
      <c r="C20" s="104"/>
      <c r="D20" s="104"/>
      <c r="E20" s="104"/>
    </row>
    <row r="21" spans="1:5" ht="12" customHeight="1">
      <c r="A21" s="382" t="s">
        <v>788</v>
      </c>
      <c r="B21" s="237">
        <f>ROUND(B11/Макроэкономика!E$13,0)</f>
        <v>1312</v>
      </c>
      <c r="C21" s="237">
        <f>ROUND(C11/Макроэкономика!F$13,0)</f>
        <v>1966</v>
      </c>
      <c r="D21" s="237">
        <f>ROUND(D11/Макроэкономика!G$13,0)</f>
        <v>1308</v>
      </c>
      <c r="E21" s="237">
        <f>ROUND(E11/Макроэкономика!H$13,0)</f>
        <v>1852</v>
      </c>
    </row>
    <row r="22" spans="1:5" ht="12" customHeight="1">
      <c r="A22" s="382" t="s">
        <v>1024</v>
      </c>
      <c r="B22" s="237">
        <f>ROUND(B12/Макроэкономика!E$13,0)</f>
        <v>3260</v>
      </c>
      <c r="C22" s="237">
        <f>ROUND(C12/Макроэкономика!F$13,0)</f>
        <v>3895</v>
      </c>
      <c r="D22" s="237">
        <f>ROUND(D12/Макроэкономика!G$13,0)</f>
        <v>3036</v>
      </c>
      <c r="E22" s="237">
        <f>ROUND(E12/Макроэкономика!H$13,0)</f>
        <v>3644</v>
      </c>
    </row>
    <row r="23" spans="1:5" ht="12" customHeight="1">
      <c r="A23" s="382" t="s">
        <v>789</v>
      </c>
      <c r="B23" s="237">
        <f>ROUND(B13/Макроэкономика!E$13,0)</f>
        <v>545</v>
      </c>
      <c r="C23" s="237">
        <f>ROUND(C13/Макроэкономика!F$13,0)</f>
        <v>641</v>
      </c>
      <c r="D23" s="237">
        <f>ROUND(D13/Макроэкономика!G$13,0)</f>
        <v>612</v>
      </c>
      <c r="E23" s="237">
        <f>ROUND(E13/Макроэкономика!H$13,0)</f>
        <v>644</v>
      </c>
    </row>
    <row r="24" spans="1:5" ht="12.75" customHeight="1" thickBot="1">
      <c r="A24" s="387" t="s">
        <v>580</v>
      </c>
      <c r="B24" s="333">
        <f>ROUND(B14/Макроэкономика!E$13,0)</f>
        <v>5117</v>
      </c>
      <c r="C24" s="333">
        <f>ROUND(C14/Макроэкономика!F$13,0)</f>
        <v>6502</v>
      </c>
      <c r="D24" s="333">
        <f>ROUND(D14/Макроэкономика!G$13,0)</f>
        <v>4956</v>
      </c>
      <c r="E24" s="333">
        <f>ROUND(E14/Макроэкономика!H$13,0)</f>
        <v>6140</v>
      </c>
    </row>
    <row r="25" spans="1:5" ht="27.75" customHeight="1" thickTop="1">
      <c r="A25" s="489" t="s">
        <v>1043</v>
      </c>
      <c r="B25" s="489"/>
      <c r="C25" s="489"/>
      <c r="D25" s="489"/>
      <c r="E25" s="489"/>
    </row>
    <row r="26" spans="1:5" ht="16.5" customHeight="1">
      <c r="A26" s="226" t="s">
        <v>1005</v>
      </c>
      <c r="B26" s="28"/>
      <c r="C26" s="28"/>
      <c r="D26" s="28"/>
      <c r="E26" s="28"/>
    </row>
    <row r="27" spans="1:5" ht="12.75" customHeight="1">
      <c r="A27" s="497"/>
      <c r="B27" s="488" t="s">
        <v>1027</v>
      </c>
      <c r="C27" s="488"/>
      <c r="D27" s="488"/>
      <c r="E27" s="488"/>
    </row>
    <row r="28" spans="1:5">
      <c r="A28" s="497"/>
      <c r="B28" s="448">
        <v>2007</v>
      </c>
      <c r="C28" s="448">
        <v>2008</v>
      </c>
      <c r="D28" s="448">
        <v>2009</v>
      </c>
      <c r="E28" s="448">
        <v>2010</v>
      </c>
    </row>
    <row r="29" spans="1:5" ht="11.25" customHeight="1">
      <c r="A29" s="441" t="s">
        <v>1006</v>
      </c>
      <c r="B29" s="104"/>
      <c r="C29" s="104"/>
      <c r="D29" s="104"/>
      <c r="E29" s="104"/>
    </row>
    <row r="30" spans="1:5" ht="12" customHeight="1">
      <c r="A30" s="382" t="s">
        <v>788</v>
      </c>
      <c r="B30" s="104">
        <v>23.2</v>
      </c>
      <c r="C30" s="97">
        <v>25.1</v>
      </c>
      <c r="D30" s="104">
        <v>24.4</v>
      </c>
      <c r="E30" s="104">
        <v>28.6</v>
      </c>
    </row>
    <row r="31" spans="1:5" ht="12" customHeight="1">
      <c r="A31" s="382" t="s">
        <v>1024</v>
      </c>
      <c r="B31" s="104">
        <v>16.7</v>
      </c>
      <c r="C31" s="104">
        <v>14.7</v>
      </c>
      <c r="D31" s="104">
        <v>16.5</v>
      </c>
      <c r="E31" s="104">
        <v>19.7</v>
      </c>
    </row>
    <row r="32" spans="1:5" ht="12" customHeight="1">
      <c r="A32" s="382" t="s">
        <v>789</v>
      </c>
      <c r="B32" s="104">
        <v>5.4</v>
      </c>
      <c r="C32" s="104">
        <v>3.9</v>
      </c>
      <c r="D32" s="104">
        <v>3.3</v>
      </c>
      <c r="E32" s="104">
        <v>3.8</v>
      </c>
    </row>
    <row r="33" spans="1:5" ht="12.75" customHeight="1" thickBot="1">
      <c r="A33" s="383" t="s">
        <v>580</v>
      </c>
      <c r="B33" s="384">
        <v>45.3</v>
      </c>
      <c r="C33" s="384">
        <f>SUM(C30:C32)</f>
        <v>43.699999999999996</v>
      </c>
      <c r="D33" s="384">
        <f>SUM(D30:D32)</f>
        <v>44.199999999999996</v>
      </c>
      <c r="E33" s="384">
        <f>SUM(E30:E32)</f>
        <v>52.099999999999994</v>
      </c>
    </row>
    <row r="34" spans="1:5" ht="21.75" customHeight="1">
      <c r="A34" s="441" t="s">
        <v>1007</v>
      </c>
      <c r="B34" s="75"/>
      <c r="C34" s="75"/>
      <c r="D34" s="75"/>
      <c r="E34" s="75"/>
    </row>
    <row r="35" spans="1:5" ht="12" customHeight="1">
      <c r="A35" s="382" t="s">
        <v>788</v>
      </c>
      <c r="B35" s="388">
        <v>304319</v>
      </c>
      <c r="C35" s="388">
        <v>378182</v>
      </c>
      <c r="D35" s="388">
        <v>297885</v>
      </c>
      <c r="E35" s="388">
        <v>412208</v>
      </c>
    </row>
    <row r="36" spans="1:5" ht="12" customHeight="1">
      <c r="A36" s="382" t="s">
        <v>1024</v>
      </c>
      <c r="B36" s="388">
        <v>183167</v>
      </c>
      <c r="C36" s="388">
        <v>229794</v>
      </c>
      <c r="D36" s="388">
        <v>206669</v>
      </c>
      <c r="E36" s="388">
        <v>260835</v>
      </c>
    </row>
    <row r="37" spans="1:5" ht="12" customHeight="1">
      <c r="A37" s="382" t="s">
        <v>789</v>
      </c>
      <c r="B37" s="388">
        <v>42181</v>
      </c>
      <c r="C37" s="388">
        <v>44980</v>
      </c>
      <c r="D37" s="388">
        <v>35951</v>
      </c>
      <c r="E37" s="388">
        <v>36042</v>
      </c>
    </row>
    <row r="38" spans="1:5" ht="12.75" customHeight="1" thickBot="1">
      <c r="A38" s="383" t="s">
        <v>580</v>
      </c>
      <c r="B38" s="386">
        <v>529667</v>
      </c>
      <c r="C38" s="386">
        <v>652956</v>
      </c>
      <c r="D38" s="386">
        <v>540505</v>
      </c>
      <c r="E38" s="386">
        <f>SUM(E35:E37)</f>
        <v>709085</v>
      </c>
    </row>
    <row r="39" spans="1:5" ht="21.75" customHeight="1">
      <c r="A39" s="441" t="s">
        <v>603</v>
      </c>
      <c r="B39" s="104"/>
      <c r="C39" s="104"/>
      <c r="D39" s="104"/>
      <c r="E39" s="104"/>
    </row>
    <row r="40" spans="1:5" ht="12" customHeight="1">
      <c r="A40" s="382" t="s">
        <v>788</v>
      </c>
      <c r="B40" s="237">
        <f>ROUND(B35/Макроэкономика!E$9,0)</f>
        <v>12396</v>
      </c>
      <c r="C40" s="237">
        <f>ROUNDUP(C35/Макроэкономика!F$9,0)</f>
        <v>12873</v>
      </c>
      <c r="D40" s="237">
        <f>ROUND(D35/Макроэкономика!G$9,0)</f>
        <v>9851</v>
      </c>
      <c r="E40" s="237">
        <f>ROUND(E35/Макроэкономика!H$9,0)</f>
        <v>13524</v>
      </c>
    </row>
    <row r="41" spans="1:5" ht="12" customHeight="1">
      <c r="A41" s="382" t="s">
        <v>1024</v>
      </c>
      <c r="B41" s="237">
        <f>ROUND(B36/Макроэкономика!E$9,0)</f>
        <v>7461</v>
      </c>
      <c r="C41" s="237">
        <f>ROUND(C36/Макроэкономика!F$9,0)</f>
        <v>7821</v>
      </c>
      <c r="D41" s="237">
        <f>ROUND(D36/Макроэкономика!G$9,0)</f>
        <v>6834</v>
      </c>
      <c r="E41" s="237">
        <f>ROUND(E36/Макроэкономика!H$9,0)</f>
        <v>8558</v>
      </c>
    </row>
    <row r="42" spans="1:5" ht="12" customHeight="1">
      <c r="A42" s="382" t="s">
        <v>789</v>
      </c>
      <c r="B42" s="237">
        <f>ROUND(B37/Макроэкономика!E$9,0)</f>
        <v>1718</v>
      </c>
      <c r="C42" s="237">
        <f>ROUND(C37/Макроэкономика!F$9,0)</f>
        <v>1531</v>
      </c>
      <c r="D42" s="237">
        <f>ROUND(D37/Макроэкономика!G$9,0)</f>
        <v>1189</v>
      </c>
      <c r="E42" s="237">
        <f>ROUND(E37/Макроэкономика!H$9,0)</f>
        <v>1182</v>
      </c>
    </row>
    <row r="43" spans="1:5" ht="12.75" customHeight="1" thickBot="1">
      <c r="A43" s="383" t="s">
        <v>580</v>
      </c>
      <c r="B43" s="386">
        <f>ROUND(B38/Макроэкономика!E$9,0)</f>
        <v>21575</v>
      </c>
      <c r="C43" s="386">
        <f>ROUND(C38/Макроэкономика!F$9,0)</f>
        <v>22225</v>
      </c>
      <c r="D43" s="386">
        <f>ROUND(D38/Макроэкономика!G$9,0)</f>
        <v>17874</v>
      </c>
      <c r="E43" s="386">
        <f>ROUND(E38/Макроэкономика!H$9,0)</f>
        <v>23264</v>
      </c>
    </row>
    <row r="44" spans="1:5" ht="21.75" customHeight="1">
      <c r="A44" s="441" t="s">
        <v>263</v>
      </c>
      <c r="B44" s="104"/>
      <c r="C44" s="104"/>
      <c r="D44" s="104"/>
      <c r="E44" s="104"/>
    </row>
    <row r="45" spans="1:5" ht="12" customHeight="1">
      <c r="A45" s="382" t="s">
        <v>788</v>
      </c>
      <c r="B45" s="237">
        <f>ROUND(B35/Макроэкономика!E$13,0)</f>
        <v>8470</v>
      </c>
      <c r="C45" s="237">
        <f>ROUNDUP(C35/Макроэкономика!F$13,0)</f>
        <v>9127</v>
      </c>
      <c r="D45" s="237">
        <f>ROUND(D35/Макроэкономика!G$13,0)</f>
        <v>6865</v>
      </c>
      <c r="E45" s="237">
        <f>ROUNDDOWN(E35/Макроэкономика!H$13,0)</f>
        <v>10220</v>
      </c>
    </row>
    <row r="46" spans="1:5" ht="12" customHeight="1">
      <c r="A46" s="382" t="s">
        <v>1024</v>
      </c>
      <c r="B46" s="237">
        <f>ROUND(B36/Макроэкономика!E$13,0)</f>
        <v>5098</v>
      </c>
      <c r="C46" s="237">
        <f>ROUND(C36/Макроэкономика!F$13,0)</f>
        <v>5545</v>
      </c>
      <c r="D46" s="237">
        <f>ROUND(D36/Макроэкономика!G$13,0)</f>
        <v>4763</v>
      </c>
      <c r="E46" s="237">
        <f>ROUND(E36/Макроэкономика!H$13,0)</f>
        <v>6468</v>
      </c>
    </row>
    <row r="47" spans="1:5" ht="12" customHeight="1">
      <c r="A47" s="382" t="s">
        <v>789</v>
      </c>
      <c r="B47" s="237">
        <f>ROUND(B37/Макроэкономика!E$13,0)</f>
        <v>1174</v>
      </c>
      <c r="C47" s="237">
        <f>ROUND(C37/Макроэкономика!F$13,0)</f>
        <v>1085</v>
      </c>
      <c r="D47" s="237">
        <f>ROUND(D37/Макроэкономика!G$13,0)</f>
        <v>829</v>
      </c>
      <c r="E47" s="237">
        <f>ROUND(E37/Макроэкономика!H$13,0)</f>
        <v>894</v>
      </c>
    </row>
    <row r="48" spans="1:5" ht="12.75" customHeight="1" thickBot="1">
      <c r="A48" s="387" t="s">
        <v>580</v>
      </c>
      <c r="B48" s="333">
        <f>ROUND(B38/Макроэкономика!E$13,0)</f>
        <v>14742</v>
      </c>
      <c r="C48" s="333">
        <f>ROUND(C38/Макроэкономика!F$13,0)</f>
        <v>15757</v>
      </c>
      <c r="D48" s="333">
        <f>ROUND(D38/Макроэкономика!G$13,0)</f>
        <v>12457</v>
      </c>
      <c r="E48" s="333">
        <f>ROUND(E38/Макроэкономика!H$13,0)</f>
        <v>17582</v>
      </c>
    </row>
    <row r="49" spans="1:5" ht="21.75" customHeight="1" thickTop="1">
      <c r="A49" s="513" t="s">
        <v>1043</v>
      </c>
      <c r="B49" s="513"/>
      <c r="C49" s="513"/>
      <c r="D49" s="513"/>
      <c r="E49" s="513"/>
    </row>
    <row r="50" spans="1:5">
      <c r="A50" s="28"/>
      <c r="B50" s="28"/>
      <c r="C50" s="28"/>
      <c r="D50" s="28"/>
      <c r="E50" s="28"/>
    </row>
    <row r="51" spans="1:5">
      <c r="A51" s="487" t="s">
        <v>776</v>
      </c>
      <c r="B51" s="487"/>
      <c r="C51" s="487"/>
      <c r="D51" s="487"/>
      <c r="E51" s="22"/>
    </row>
    <row r="52" spans="1:5" hidden="1"/>
    <row r="53" spans="1:5" hidden="1"/>
    <row r="54" spans="1:5" hidden="1"/>
    <row r="55" spans="1:5" hidden="1"/>
  </sheetData>
  <sheetProtection password="CAF1" sheet="1" formatCells="0" formatColumns="0" formatRows="0" insertColumns="0" insertRows="0" insertHyperlinks="0" deleteColumns="0" deleteRows="0" sort="0" autoFilter="0" pivotTables="0"/>
  <mergeCells count="7">
    <mergeCell ref="A49:E49"/>
    <mergeCell ref="B3:E3"/>
    <mergeCell ref="B27:E27"/>
    <mergeCell ref="A51:D51"/>
    <mergeCell ref="A25:E25"/>
    <mergeCell ref="A3:A4"/>
    <mergeCell ref="A27:A28"/>
  </mergeCells>
  <phoneticPr fontId="27" type="noConversion"/>
  <hyperlinks>
    <hyperlink ref="A51:D51" location="Титул!A1" display="Вернуться к Содержанию"/>
  </hyperlinks>
  <pageMargins left="0.25" right="0.25" top="0.75" bottom="0.75" header="0.3" footer="0.3"/>
  <pageSetup paperSize="9" firstPageNumber="44" orientation="portrait" useFirstPageNumber="1" r:id="rId1"/>
  <headerFooter alignWithMargins="0">
    <oddHeader>&amp;L&amp;"Times New Roman,полужирный"Газпром в цифрах 2006-2010 гг.&amp;R&amp;"Times New Roman,полужирный"Справочник</oddHeader>
    <oddFooter>&amp;C&amp;P</oddFooter>
  </headerFooter>
</worksheet>
</file>

<file path=xl/worksheets/sheet29.xml><?xml version="1.0" encoding="utf-8"?>
<worksheet xmlns="http://schemas.openxmlformats.org/spreadsheetml/2006/main" xmlns:r="http://schemas.openxmlformats.org/officeDocument/2006/relationships">
  <sheetPr codeName="Лист29"/>
  <dimension ref="A1:E26"/>
  <sheetViews>
    <sheetView zoomScaleNormal="100" zoomScaleSheetLayoutView="100" workbookViewId="0"/>
  </sheetViews>
  <sheetFormatPr defaultColWidth="0" defaultRowHeight="13.2" zeroHeight="1"/>
  <cols>
    <col min="1" max="1" width="64" style="2" customWidth="1"/>
    <col min="2" max="5" width="9.33203125" style="2" customWidth="1"/>
    <col min="6" max="16384" width="0" style="2" hidden="1"/>
  </cols>
  <sheetData>
    <row r="1" spans="1:5" ht="15.6">
      <c r="A1" s="51" t="s">
        <v>345</v>
      </c>
      <c r="B1" s="28"/>
      <c r="C1" s="28"/>
      <c r="D1" s="28"/>
      <c r="E1" s="28"/>
    </row>
    <row r="2" spans="1:5" ht="23.25" customHeight="1">
      <c r="A2" s="226" t="s">
        <v>661</v>
      </c>
      <c r="B2" s="28"/>
      <c r="C2" s="28"/>
      <c r="D2" s="28"/>
      <c r="E2" s="28"/>
    </row>
    <row r="3" spans="1:5" ht="13.2" customHeight="1">
      <c r="A3" s="389"/>
      <c r="B3" s="488" t="s">
        <v>656</v>
      </c>
      <c r="C3" s="488"/>
      <c r="D3" s="488"/>
      <c r="E3" s="488"/>
    </row>
    <row r="4" spans="1:5">
      <c r="A4" s="389"/>
      <c r="B4" s="448">
        <v>2007</v>
      </c>
      <c r="C4" s="448">
        <v>2008</v>
      </c>
      <c r="D4" s="448">
        <v>2009</v>
      </c>
      <c r="E4" s="448">
        <v>2010</v>
      </c>
    </row>
    <row r="5" spans="1:5">
      <c r="A5" s="64" t="s">
        <v>662</v>
      </c>
      <c r="B5" s="75">
        <v>32.200000000000003</v>
      </c>
      <c r="C5" s="98">
        <v>115.2</v>
      </c>
      <c r="D5" s="75">
        <v>147.69999999999999</v>
      </c>
      <c r="E5" s="75">
        <v>191.3</v>
      </c>
    </row>
    <row r="6" spans="1:5">
      <c r="A6" s="151" t="s">
        <v>986</v>
      </c>
      <c r="B6" s="390">
        <v>0</v>
      </c>
      <c r="C6" s="98">
        <v>7.1</v>
      </c>
      <c r="D6" s="98">
        <v>12</v>
      </c>
      <c r="E6" s="75">
        <v>29.2</v>
      </c>
    </row>
    <row r="7" spans="1:5">
      <c r="A7" s="240" t="s">
        <v>116</v>
      </c>
      <c r="B7" s="75">
        <v>29.4</v>
      </c>
      <c r="C7" s="98">
        <v>67</v>
      </c>
      <c r="D7" s="75">
        <v>73.5</v>
      </c>
      <c r="E7" s="75">
        <v>102.4</v>
      </c>
    </row>
    <row r="8" spans="1:5">
      <c r="A8" s="224" t="s">
        <v>986</v>
      </c>
      <c r="B8" s="390">
        <v>0</v>
      </c>
      <c r="C8" s="98">
        <v>0.6</v>
      </c>
      <c r="D8" s="75">
        <v>0.7</v>
      </c>
      <c r="E8" s="98">
        <v>1</v>
      </c>
    </row>
    <row r="9" spans="1:5">
      <c r="A9" s="55" t="s">
        <v>988</v>
      </c>
      <c r="B9" s="104"/>
      <c r="C9" s="104"/>
      <c r="D9" s="104"/>
      <c r="E9" s="104"/>
    </row>
    <row r="10" spans="1:5">
      <c r="A10" s="168" t="s">
        <v>787</v>
      </c>
      <c r="B10" s="237">
        <v>49284</v>
      </c>
      <c r="C10" s="237">
        <v>134334</v>
      </c>
      <c r="D10" s="237">
        <v>195166</v>
      </c>
      <c r="E10" s="237">
        <v>297461</v>
      </c>
    </row>
    <row r="11" spans="1:5">
      <c r="A11" s="168" t="s">
        <v>274</v>
      </c>
      <c r="B11" s="237">
        <f>ROUND(B10/Макроэкономика!E$9,0)</f>
        <v>2007</v>
      </c>
      <c r="C11" s="237">
        <f>ROUND(C10/Макроэкономика!F9,0)</f>
        <v>4572</v>
      </c>
      <c r="D11" s="237">
        <f>ROUND(D10/Макроэкономика!G9,0)</f>
        <v>6454</v>
      </c>
      <c r="E11" s="237">
        <f>ROUND(E10/Макроэкономика!H9,0)</f>
        <v>9759</v>
      </c>
    </row>
    <row r="12" spans="1:5" ht="13.8" thickBot="1">
      <c r="A12" s="391" t="s">
        <v>265</v>
      </c>
      <c r="B12" s="287">
        <f>ROUND(B10/Макроэкономика!E$13,0)</f>
        <v>1372</v>
      </c>
      <c r="C12" s="287">
        <f>ROUND(C10/Макроэкономика!F13,0)</f>
        <v>3242</v>
      </c>
      <c r="D12" s="287">
        <f>ROUND(D10/Макроэкономика!G13,0)</f>
        <v>4498</v>
      </c>
      <c r="E12" s="287">
        <f>ROUND(E10/Макроэкономика!H13,0)</f>
        <v>7376</v>
      </c>
    </row>
    <row r="13" spans="1:5" ht="25.5" customHeight="1" thickTop="1">
      <c r="A13" s="489" t="s">
        <v>987</v>
      </c>
      <c r="B13" s="489"/>
      <c r="C13" s="489"/>
      <c r="D13" s="489"/>
      <c r="E13" s="73"/>
    </row>
    <row r="14" spans="1:5" ht="25.5" customHeight="1">
      <c r="A14" s="490" t="s">
        <v>117</v>
      </c>
      <c r="B14" s="490"/>
      <c r="C14" s="490"/>
      <c r="D14" s="490"/>
      <c r="E14" s="72"/>
    </row>
    <row r="15" spans="1:5" ht="23.25" customHeight="1">
      <c r="A15" s="226" t="s">
        <v>118</v>
      </c>
      <c r="B15" s="28"/>
      <c r="C15" s="28"/>
      <c r="D15" s="28"/>
      <c r="E15" s="28"/>
    </row>
    <row r="16" spans="1:5" ht="13.2" customHeight="1">
      <c r="A16" s="389"/>
      <c r="B16" s="488" t="s">
        <v>656</v>
      </c>
      <c r="C16" s="488"/>
      <c r="D16" s="488"/>
      <c r="E16" s="488"/>
    </row>
    <row r="17" spans="1:5">
      <c r="A17" s="389"/>
      <c r="B17" s="448">
        <v>2007</v>
      </c>
      <c r="C17" s="448">
        <v>2008</v>
      </c>
      <c r="D17" s="448">
        <v>2009</v>
      </c>
      <c r="E17" s="448">
        <v>2010</v>
      </c>
    </row>
    <row r="18" spans="1:5" ht="25.2" customHeight="1" thickBot="1">
      <c r="A18" s="61" t="s">
        <v>1048</v>
      </c>
      <c r="B18" s="229">
        <v>106.1</v>
      </c>
      <c r="C18" s="229">
        <v>111.2</v>
      </c>
      <c r="D18" s="99">
        <v>66.5</v>
      </c>
      <c r="E18" s="99">
        <v>72.599999999999994</v>
      </c>
    </row>
    <row r="19" spans="1:5">
      <c r="A19" s="55" t="s">
        <v>989</v>
      </c>
      <c r="B19" s="104"/>
      <c r="C19" s="104"/>
      <c r="D19" s="104"/>
      <c r="E19" s="104"/>
    </row>
    <row r="20" spans="1:5">
      <c r="A20" s="168" t="s">
        <v>787</v>
      </c>
      <c r="B20" s="237">
        <v>41740</v>
      </c>
      <c r="C20" s="237">
        <v>63468</v>
      </c>
      <c r="D20" s="237">
        <v>47029</v>
      </c>
      <c r="E20" s="237">
        <v>62053</v>
      </c>
    </row>
    <row r="21" spans="1:5">
      <c r="A21" s="168" t="s">
        <v>273</v>
      </c>
      <c r="B21" s="237">
        <f>ROUND(B20/Макроэкономика!E$9,0)</f>
        <v>1700</v>
      </c>
      <c r="C21" s="237">
        <f>ROUND(C20/Макроэкономика!F$9,0)</f>
        <v>2160</v>
      </c>
      <c r="D21" s="237">
        <f>ROUND(D20/Макроэкономика!G$9,0)</f>
        <v>1555</v>
      </c>
      <c r="E21" s="237">
        <f>ROUND(E20/Макроэкономика!H$9,0)</f>
        <v>2036</v>
      </c>
    </row>
    <row r="22" spans="1:5" ht="13.8" thickBot="1">
      <c r="A22" s="391" t="s">
        <v>272</v>
      </c>
      <c r="B22" s="287">
        <f>ROUND(B20/Макроэкономика!E$13,0)</f>
        <v>1162</v>
      </c>
      <c r="C22" s="287">
        <f>ROUND(C20/Макроэкономика!F$13,0)</f>
        <v>1532</v>
      </c>
      <c r="D22" s="287">
        <f>ROUND(D20/Макроэкономика!G$13,0)</f>
        <v>1084</v>
      </c>
      <c r="E22" s="287">
        <f>ROUND(E20/Макроэкономика!H$13,0)</f>
        <v>1539</v>
      </c>
    </row>
    <row r="23" spans="1:5" ht="25.5" customHeight="1" thickTop="1">
      <c r="A23" s="489" t="s">
        <v>1043</v>
      </c>
      <c r="B23" s="489"/>
      <c r="C23" s="489"/>
      <c r="D23" s="489"/>
      <c r="E23" s="73"/>
    </row>
    <row r="24" spans="1:5">
      <c r="A24" s="28"/>
      <c r="B24" s="28"/>
      <c r="C24" s="28"/>
      <c r="D24" s="28"/>
      <c r="E24" s="28"/>
    </row>
    <row r="25" spans="1:5">
      <c r="A25" s="487" t="s">
        <v>776</v>
      </c>
      <c r="B25" s="487"/>
      <c r="C25" s="487"/>
      <c r="D25" s="487"/>
      <c r="E25" s="22"/>
    </row>
    <row r="26" spans="1:5" ht="12.75" hidden="1" customHeight="1"/>
  </sheetData>
  <sheetProtection password="CAF1" sheet="1" formatCells="0" formatColumns="0" formatRows="0" insertColumns="0" insertRows="0" insertHyperlinks="0" deleteColumns="0" deleteRows="0" sort="0" autoFilter="0" pivotTables="0"/>
  <mergeCells count="6">
    <mergeCell ref="B3:E3"/>
    <mergeCell ref="B16:E16"/>
    <mergeCell ref="A25:D25"/>
    <mergeCell ref="A23:D23"/>
    <mergeCell ref="A13:D13"/>
    <mergeCell ref="A14:D14"/>
  </mergeCells>
  <phoneticPr fontId="27" type="noConversion"/>
  <hyperlinks>
    <hyperlink ref="A25:D25" location="Титул!A1" display="Вернуться к Содержанию"/>
  </hyperlinks>
  <pageMargins left="0.25" right="0.25" top="0.75" bottom="0.75" header="0.3" footer="0.3"/>
  <pageSetup paperSize="9" firstPageNumber="46" orientation="portrait" useFirstPageNumber="1" r:id="rId1"/>
  <headerFooter alignWithMargins="0">
    <oddHeader>&amp;L&amp;"Times New Roman,полужирный"Газпром в цифрах 2006-2010 гг.&amp;R&amp;"Times New Roman,полужирный"Справочник</oddHeader>
    <oddFooter>&amp;C&amp;P</oddFooter>
  </headerFooter>
</worksheet>
</file>

<file path=xl/worksheets/sheet3.xml><?xml version="1.0" encoding="utf-8"?>
<worksheet xmlns="http://schemas.openxmlformats.org/spreadsheetml/2006/main" xmlns:r="http://schemas.openxmlformats.org/officeDocument/2006/relationships">
  <sheetPr codeName="Лист3"/>
  <dimension ref="A1:K19"/>
  <sheetViews>
    <sheetView zoomScaleNormal="100" zoomScaleSheetLayoutView="100" workbookViewId="0"/>
  </sheetViews>
  <sheetFormatPr defaultColWidth="0" defaultRowHeight="13.2" zeroHeight="1" outlineLevelCol="1"/>
  <cols>
    <col min="1" max="1" width="62.33203125" style="2" customWidth="1"/>
    <col min="2" max="2" width="7.6640625" style="2" hidden="1" customWidth="1" outlineLevel="1"/>
    <col min="3" max="3" width="7.6640625" style="2" customWidth="1" collapsed="1"/>
    <col min="4" max="7" width="7.6640625" style="2" customWidth="1"/>
    <col min="8" max="16384" width="0" style="2" hidden="1"/>
  </cols>
  <sheetData>
    <row r="1" spans="1:11" ht="15.6">
      <c r="A1" s="130" t="s">
        <v>741</v>
      </c>
      <c r="B1" s="28"/>
      <c r="C1" s="28"/>
      <c r="D1" s="28"/>
      <c r="E1" s="28"/>
      <c r="F1" s="28"/>
      <c r="G1" s="28"/>
    </row>
    <row r="2" spans="1:11" ht="13.2" customHeight="1">
      <c r="A2" s="24"/>
      <c r="B2" s="488" t="s">
        <v>350</v>
      </c>
      <c r="C2" s="488"/>
      <c r="D2" s="488"/>
      <c r="E2" s="488"/>
      <c r="F2" s="488"/>
      <c r="G2" s="488"/>
      <c r="H2" s="23"/>
      <c r="I2" s="23"/>
      <c r="J2" s="23"/>
      <c r="K2" s="23"/>
    </row>
    <row r="3" spans="1:11">
      <c r="A3" s="24"/>
      <c r="B3" s="32">
        <v>2005</v>
      </c>
      <c r="C3" s="32">
        <v>2006</v>
      </c>
      <c r="D3" s="32">
        <v>2007</v>
      </c>
      <c r="E3" s="32">
        <v>2008</v>
      </c>
      <c r="F3" s="32">
        <v>2009</v>
      </c>
      <c r="G3" s="32">
        <v>2010</v>
      </c>
    </row>
    <row r="4" spans="1:11">
      <c r="A4" s="55" t="s">
        <v>421</v>
      </c>
      <c r="B4" s="187"/>
      <c r="C4" s="187"/>
      <c r="D4" s="187"/>
      <c r="E4" s="187"/>
      <c r="F4" s="187"/>
      <c r="G4" s="187"/>
    </row>
    <row r="5" spans="1:11">
      <c r="A5" s="59" t="s">
        <v>429</v>
      </c>
      <c r="B5" s="174">
        <v>0.16600000000000001</v>
      </c>
      <c r="C5" s="174">
        <v>0.16800000000000001</v>
      </c>
      <c r="D5" s="174">
        <v>0.16500000000000001</v>
      </c>
      <c r="E5" s="174">
        <v>0.18</v>
      </c>
      <c r="F5" s="174">
        <v>0.18</v>
      </c>
      <c r="G5" s="188">
        <v>0.17599999999999999</v>
      </c>
    </row>
    <row r="6" spans="1:11">
      <c r="A6" s="59" t="s">
        <v>428</v>
      </c>
      <c r="B6" s="174">
        <v>0.185</v>
      </c>
      <c r="C6" s="174">
        <v>0.18099999999999999</v>
      </c>
      <c r="D6" s="174">
        <v>0.17399999999999999</v>
      </c>
      <c r="E6" s="174">
        <v>0.16700000000000001</v>
      </c>
      <c r="F6" s="174">
        <v>0.14499999999999999</v>
      </c>
      <c r="G6" s="188">
        <v>0.14799999999999999</v>
      </c>
    </row>
    <row r="7" spans="1:11" ht="13.8" thickBot="1">
      <c r="A7" s="141" t="s">
        <v>427</v>
      </c>
      <c r="B7" s="176">
        <v>0.253</v>
      </c>
      <c r="C7" s="176">
        <v>0.27100000000000002</v>
      </c>
      <c r="D7" s="176">
        <v>0.27</v>
      </c>
      <c r="E7" s="176">
        <v>0.254</v>
      </c>
      <c r="F7" s="189">
        <v>0.221</v>
      </c>
      <c r="G7" s="190">
        <v>0.20100000000000001</v>
      </c>
    </row>
    <row r="8" spans="1:11" ht="24" customHeight="1">
      <c r="A8" s="55" t="s">
        <v>422</v>
      </c>
      <c r="B8" s="187"/>
      <c r="C8" s="187"/>
      <c r="D8" s="187"/>
      <c r="E8" s="187"/>
      <c r="F8" s="191"/>
      <c r="G8" s="191"/>
    </row>
    <row r="9" spans="1:11">
      <c r="A9" s="59" t="s">
        <v>423</v>
      </c>
      <c r="B9" s="174">
        <v>0.60899999999999999</v>
      </c>
      <c r="C9" s="174">
        <v>0.624</v>
      </c>
      <c r="D9" s="174">
        <v>0.621</v>
      </c>
      <c r="E9" s="174">
        <v>0.68899999999999995</v>
      </c>
      <c r="F9" s="174">
        <v>0.69799999999999995</v>
      </c>
      <c r="G9" s="188">
        <v>0.68700000000000006</v>
      </c>
    </row>
    <row r="10" spans="1:11">
      <c r="A10" s="59" t="s">
        <v>424</v>
      </c>
      <c r="B10" s="174">
        <v>0.86599999999999999</v>
      </c>
      <c r="C10" s="174">
        <v>0.84699999999999998</v>
      </c>
      <c r="D10" s="174">
        <v>0.83899999999999997</v>
      </c>
      <c r="E10" s="174">
        <v>0.82699999999999996</v>
      </c>
      <c r="F10" s="174">
        <v>0.79200000000000004</v>
      </c>
      <c r="G10" s="188">
        <v>0.78100000000000003</v>
      </c>
    </row>
    <row r="11" spans="1:11">
      <c r="A11" s="59" t="s">
        <v>425</v>
      </c>
      <c r="B11" s="174">
        <v>4.4999999999999998E-2</v>
      </c>
      <c r="C11" s="174">
        <v>9.4E-2</v>
      </c>
      <c r="D11" s="174">
        <v>9.1999999999999998E-2</v>
      </c>
      <c r="E11" s="174">
        <v>8.7999999999999995E-2</v>
      </c>
      <c r="F11" s="174">
        <v>8.4000000000000005E-2</v>
      </c>
      <c r="G11" s="188">
        <v>8.5999999999999993E-2</v>
      </c>
    </row>
    <row r="12" spans="1:11">
      <c r="A12" s="59" t="s">
        <v>426</v>
      </c>
      <c r="B12" s="174">
        <v>0.78400000000000003</v>
      </c>
      <c r="C12" s="174">
        <v>0.76900000000000002</v>
      </c>
      <c r="D12" s="174">
        <v>0.70199999999999996</v>
      </c>
      <c r="E12" s="174">
        <v>0.59099999999999997</v>
      </c>
      <c r="F12" s="174">
        <v>0.47599999999999998</v>
      </c>
      <c r="G12" s="188">
        <v>0.499</v>
      </c>
    </row>
    <row r="13" spans="1:11">
      <c r="A13" s="60" t="s">
        <v>276</v>
      </c>
      <c r="B13" s="174">
        <v>4.9000000000000002E-2</v>
      </c>
      <c r="C13" s="174">
        <v>0.14000000000000001</v>
      </c>
      <c r="D13" s="174">
        <v>0.14099999999999999</v>
      </c>
      <c r="E13" s="174">
        <v>0.14499999999999999</v>
      </c>
      <c r="F13" s="174">
        <v>0.155</v>
      </c>
      <c r="G13" s="188">
        <v>0.16500000000000001</v>
      </c>
    </row>
    <row r="14" spans="1:11">
      <c r="A14" s="59" t="s">
        <v>747</v>
      </c>
      <c r="B14" s="192">
        <v>0</v>
      </c>
      <c r="C14" s="192">
        <v>0</v>
      </c>
      <c r="D14" s="192">
        <v>3.1E-2</v>
      </c>
      <c r="E14" s="192">
        <v>0.105</v>
      </c>
      <c r="F14" s="192">
        <v>0.13900000000000001</v>
      </c>
      <c r="G14" s="188">
        <v>0.16900000000000001</v>
      </c>
    </row>
    <row r="15" spans="1:11" ht="13.8" thickBot="1">
      <c r="A15" s="193" t="s">
        <v>351</v>
      </c>
      <c r="B15" s="194">
        <v>155</v>
      </c>
      <c r="C15" s="194">
        <v>156.9</v>
      </c>
      <c r="D15" s="194">
        <v>158.19999999999999</v>
      </c>
      <c r="E15" s="194">
        <v>159.5</v>
      </c>
      <c r="F15" s="194">
        <v>160.4</v>
      </c>
      <c r="G15" s="195">
        <v>161.69999999999999</v>
      </c>
    </row>
    <row r="16" spans="1:11" ht="35.25" customHeight="1" thickTop="1">
      <c r="A16" s="489" t="s">
        <v>277</v>
      </c>
      <c r="B16" s="489"/>
      <c r="C16" s="489"/>
      <c r="D16" s="489"/>
      <c r="E16" s="489"/>
      <c r="F16" s="489"/>
      <c r="G16" s="489"/>
    </row>
    <row r="17" spans="1:7" ht="14.25" customHeight="1">
      <c r="A17" s="490" t="s">
        <v>275</v>
      </c>
      <c r="B17" s="490"/>
      <c r="C17" s="490"/>
      <c r="D17" s="490"/>
      <c r="E17" s="490"/>
      <c r="F17" s="490"/>
      <c r="G17" s="490"/>
    </row>
    <row r="18" spans="1:7">
      <c r="A18" s="196"/>
      <c r="B18" s="28"/>
      <c r="C18" s="28"/>
      <c r="D18" s="28"/>
      <c r="E18" s="28"/>
      <c r="F18" s="28"/>
      <c r="G18" s="28"/>
    </row>
    <row r="19" spans="1:7">
      <c r="A19" s="487" t="s">
        <v>776</v>
      </c>
      <c r="B19" s="487"/>
      <c r="C19" s="487"/>
      <c r="D19" s="487"/>
      <c r="E19" s="487"/>
      <c r="F19" s="487"/>
    </row>
  </sheetData>
  <sheetProtection password="CAF1" sheet="1" formatCells="0" formatColumns="0" formatRows="0" insertColumns="0" insertRows="0" insertHyperlinks="0" deleteColumns="0" deleteRows="0" sort="0" autoFilter="0" pivotTables="0"/>
  <mergeCells count="4">
    <mergeCell ref="A19:F19"/>
    <mergeCell ref="B2:G2"/>
    <mergeCell ref="A16:G16"/>
    <mergeCell ref="A17:G17"/>
  </mergeCells>
  <phoneticPr fontId="8" type="noConversion"/>
  <hyperlinks>
    <hyperlink ref="A19" location="Титул!A1" display="Вернуться к Содержанию"/>
  </hyperlinks>
  <pageMargins left="0.25" right="0.25" top="0.75" bottom="0.75" header="0.3" footer="0.3"/>
  <pageSetup paperSize="9" firstPageNumber="3" orientation="portrait" useFirstPageNumber="1" r:id="rId1"/>
  <headerFooter alignWithMargins="0">
    <oddHeader>&amp;L&amp;"Times New Roman,полужирный"Газпром в цифрах 2006-2010 гг.&amp;R&amp;"Times New Roman,полужирный"Справочник</oddHeader>
    <oddFooter>&amp;C&amp;P</oddFooter>
  </headerFooter>
</worksheet>
</file>

<file path=xl/worksheets/sheet30.xml><?xml version="1.0" encoding="utf-8"?>
<worksheet xmlns="http://schemas.openxmlformats.org/spreadsheetml/2006/main" xmlns:r="http://schemas.openxmlformats.org/officeDocument/2006/relationships">
  <sheetPr codeName="Лист30"/>
  <dimension ref="A1:G43"/>
  <sheetViews>
    <sheetView zoomScaleNormal="100" zoomScaleSheetLayoutView="100" workbookViewId="0"/>
  </sheetViews>
  <sheetFormatPr defaultColWidth="0" defaultRowHeight="13.2" zeroHeight="1" outlineLevelCol="1"/>
  <cols>
    <col min="1" max="1" width="56" style="2" customWidth="1"/>
    <col min="2" max="2" width="9" style="2" hidden="1" customWidth="1" outlineLevel="1"/>
    <col min="3" max="3" width="9" style="2" customWidth="1" collapsed="1"/>
    <col min="4" max="7" width="9" style="2" customWidth="1"/>
    <col min="8" max="16384" width="0" style="2" hidden="1"/>
  </cols>
  <sheetData>
    <row r="1" spans="1:7" ht="15.6">
      <c r="A1" s="51" t="s">
        <v>346</v>
      </c>
      <c r="B1" s="28"/>
      <c r="C1" s="28"/>
      <c r="D1" s="28"/>
      <c r="E1" s="28"/>
      <c r="F1" s="28"/>
      <c r="G1" s="28"/>
    </row>
    <row r="2" spans="1:7" ht="17.25" customHeight="1">
      <c r="A2" s="226" t="s">
        <v>120</v>
      </c>
      <c r="B2" s="28"/>
      <c r="C2" s="28"/>
      <c r="D2" s="28"/>
      <c r="E2" s="28"/>
      <c r="F2" s="28"/>
      <c r="G2" s="28"/>
    </row>
    <row r="3" spans="1:7" ht="15" customHeight="1">
      <c r="A3" s="24"/>
      <c r="B3" s="30"/>
      <c r="C3" s="30"/>
      <c r="D3" s="30"/>
      <c r="E3" s="488" t="s">
        <v>1027</v>
      </c>
      <c r="F3" s="488"/>
      <c r="G3" s="488"/>
    </row>
    <row r="4" spans="1:7">
      <c r="A4" s="24"/>
      <c r="B4" s="24"/>
      <c r="C4" s="24"/>
      <c r="D4" s="24"/>
      <c r="E4" s="448">
        <v>2008</v>
      </c>
      <c r="F4" s="448">
        <v>2009</v>
      </c>
      <c r="G4" s="448">
        <v>2010</v>
      </c>
    </row>
    <row r="5" spans="1:7">
      <c r="A5" s="510" t="s">
        <v>258</v>
      </c>
      <c r="B5" s="510"/>
      <c r="C5" s="510"/>
      <c r="D5" s="510"/>
      <c r="E5" s="392">
        <v>3340.7</v>
      </c>
      <c r="F5" s="392">
        <v>3391.1</v>
      </c>
      <c r="G5" s="392">
        <v>3225.3</v>
      </c>
    </row>
    <row r="6" spans="1:7">
      <c r="A6" s="589" t="s">
        <v>121</v>
      </c>
      <c r="B6" s="589"/>
      <c r="C6" s="589"/>
      <c r="D6" s="589"/>
      <c r="E6" s="104"/>
      <c r="F6" s="104"/>
      <c r="G6" s="104"/>
    </row>
    <row r="7" spans="1:7">
      <c r="A7" s="590" t="s">
        <v>122</v>
      </c>
      <c r="B7" s="590"/>
      <c r="C7" s="590"/>
      <c r="D7" s="590"/>
      <c r="E7" s="104">
        <v>785.5</v>
      </c>
      <c r="F7" s="104">
        <v>645.79999999999995</v>
      </c>
      <c r="G7" s="104">
        <v>666.8</v>
      </c>
    </row>
    <row r="8" spans="1:7">
      <c r="A8" s="590" t="s">
        <v>123</v>
      </c>
      <c r="B8" s="590"/>
      <c r="C8" s="590"/>
      <c r="D8" s="590"/>
      <c r="E8" s="104">
        <v>339.4</v>
      </c>
      <c r="F8" s="104">
        <v>335.3</v>
      </c>
      <c r="G8" s="104">
        <v>377.4</v>
      </c>
    </row>
    <row r="9" spans="1:7">
      <c r="A9" s="590" t="s">
        <v>124</v>
      </c>
      <c r="B9" s="590"/>
      <c r="C9" s="590"/>
      <c r="D9" s="590"/>
      <c r="E9" s="104">
        <v>248.6</v>
      </c>
      <c r="F9" s="104">
        <v>249.1</v>
      </c>
      <c r="G9" s="104">
        <v>296.10000000000002</v>
      </c>
    </row>
    <row r="10" spans="1:7" ht="13.8" thickBot="1">
      <c r="A10" s="591" t="s">
        <v>125</v>
      </c>
      <c r="B10" s="591"/>
      <c r="C10" s="591"/>
      <c r="D10" s="591"/>
      <c r="E10" s="95">
        <v>1712.4</v>
      </c>
      <c r="F10" s="95">
        <v>1859.8</v>
      </c>
      <c r="G10" s="95">
        <v>1589.1</v>
      </c>
    </row>
    <row r="11" spans="1:7">
      <c r="A11" s="509" t="s">
        <v>126</v>
      </c>
      <c r="B11" s="509"/>
      <c r="C11" s="509"/>
      <c r="D11" s="509"/>
      <c r="E11" s="392">
        <v>4115.8999999999996</v>
      </c>
      <c r="F11" s="392">
        <v>5336.3</v>
      </c>
      <c r="G11" s="392">
        <v>5701</v>
      </c>
    </row>
    <row r="12" spans="1:7">
      <c r="A12" s="589" t="s">
        <v>127</v>
      </c>
      <c r="B12" s="589"/>
      <c r="C12" s="589"/>
      <c r="D12" s="589"/>
      <c r="E12" s="85">
        <v>3895.1</v>
      </c>
      <c r="F12" s="85">
        <v>5175.8999999999996</v>
      </c>
      <c r="G12" s="85">
        <v>5364.1</v>
      </c>
    </row>
    <row r="13" spans="1:7" ht="12.75" customHeight="1">
      <c r="A13" s="590" t="s">
        <v>128</v>
      </c>
      <c r="B13" s="590"/>
      <c r="C13" s="590"/>
      <c r="D13" s="590"/>
      <c r="E13" s="206">
        <v>3853.1</v>
      </c>
      <c r="F13" s="206">
        <v>5031.3</v>
      </c>
      <c r="G13" s="206">
        <v>5348.9</v>
      </c>
    </row>
    <row r="14" spans="1:7">
      <c r="A14" s="510" t="s">
        <v>129</v>
      </c>
      <c r="B14" s="510"/>
      <c r="C14" s="510"/>
      <c r="D14" s="510"/>
      <c r="E14" s="392">
        <v>4084.5</v>
      </c>
      <c r="F14" s="392">
        <v>5210.8</v>
      </c>
      <c r="G14" s="392">
        <v>5600.3</v>
      </c>
    </row>
    <row r="15" spans="1:7" ht="13.8" thickBot="1">
      <c r="A15" s="592" t="s">
        <v>130</v>
      </c>
      <c r="B15" s="592"/>
      <c r="C15" s="592"/>
      <c r="D15" s="592"/>
      <c r="E15" s="234">
        <v>8.3000000000000007</v>
      </c>
      <c r="F15" s="234">
        <v>12.6</v>
      </c>
      <c r="G15" s="234">
        <v>9.8000000000000007</v>
      </c>
    </row>
    <row r="16" spans="1:7" ht="21.75" customHeight="1" thickTop="1">
      <c r="A16" s="226" t="s">
        <v>131</v>
      </c>
      <c r="B16" s="28"/>
      <c r="C16" s="28"/>
      <c r="D16" s="28"/>
      <c r="E16" s="28"/>
      <c r="F16" s="28"/>
      <c r="G16" s="28"/>
    </row>
    <row r="17" spans="1:7" ht="14.7" customHeight="1">
      <c r="A17" s="24"/>
      <c r="B17" s="30"/>
      <c r="C17" s="30"/>
      <c r="D17" s="30"/>
      <c r="E17" s="488" t="s">
        <v>1027</v>
      </c>
      <c r="F17" s="488"/>
      <c r="G17" s="488"/>
    </row>
    <row r="18" spans="1:7">
      <c r="A18" s="24"/>
      <c r="B18" s="24"/>
      <c r="C18" s="24"/>
      <c r="D18" s="24"/>
      <c r="E18" s="448">
        <v>2008</v>
      </c>
      <c r="F18" s="448">
        <v>2009</v>
      </c>
      <c r="G18" s="448">
        <v>2010</v>
      </c>
    </row>
    <row r="19" spans="1:7">
      <c r="A19" s="55" t="s">
        <v>132</v>
      </c>
      <c r="B19" s="237"/>
      <c r="C19" s="237"/>
      <c r="D19" s="237"/>
      <c r="E19" s="85">
        <v>17162.3</v>
      </c>
      <c r="F19" s="85">
        <v>10376.5</v>
      </c>
      <c r="G19" s="85">
        <v>10289.799999999999</v>
      </c>
    </row>
    <row r="20" spans="1:7" ht="24.75" customHeight="1">
      <c r="A20" s="594" t="s">
        <v>133</v>
      </c>
      <c r="B20" s="594"/>
      <c r="C20" s="594"/>
      <c r="D20" s="594"/>
      <c r="E20" s="85">
        <v>1428.8</v>
      </c>
      <c r="F20" s="85">
        <v>962.7</v>
      </c>
      <c r="G20" s="85">
        <v>1243.2</v>
      </c>
    </row>
    <row r="21" spans="1:7">
      <c r="A21" s="55" t="s">
        <v>134</v>
      </c>
      <c r="B21" s="237"/>
      <c r="C21" s="237"/>
      <c r="D21" s="237"/>
      <c r="E21" s="85">
        <v>2678.8</v>
      </c>
      <c r="F21" s="85">
        <v>1218.4000000000001</v>
      </c>
      <c r="G21" s="85">
        <v>1234.4000000000001</v>
      </c>
    </row>
    <row r="22" spans="1:7" ht="24" customHeight="1">
      <c r="A22" s="490" t="s">
        <v>135</v>
      </c>
      <c r="B22" s="490"/>
      <c r="C22" s="490"/>
      <c r="D22" s="490"/>
      <c r="E22" s="85">
        <v>3493.7</v>
      </c>
      <c r="F22" s="85">
        <v>6323.6</v>
      </c>
      <c r="G22" s="85">
        <v>7744.4</v>
      </c>
    </row>
    <row r="23" spans="1:7" ht="13.8" thickBot="1">
      <c r="A23" s="68" t="s">
        <v>580</v>
      </c>
      <c r="B23" s="333"/>
      <c r="C23" s="333"/>
      <c r="D23" s="333"/>
      <c r="E23" s="235">
        <f>SUM(E19:E22)</f>
        <v>24763.599999999999</v>
      </c>
      <c r="F23" s="235">
        <f>SUM(F19:F22)</f>
        <v>18881.2</v>
      </c>
      <c r="G23" s="235">
        <f>SUM(G19:G22)</f>
        <v>20511.8</v>
      </c>
    </row>
    <row r="24" spans="1:7" ht="21.75" customHeight="1" thickTop="1">
      <c r="A24" s="226" t="s">
        <v>136</v>
      </c>
      <c r="B24" s="28"/>
      <c r="C24" s="28"/>
      <c r="D24" s="28"/>
      <c r="E24" s="28"/>
      <c r="F24" s="28"/>
      <c r="G24" s="28"/>
    </row>
    <row r="25" spans="1:7" ht="13.2" customHeight="1">
      <c r="A25" s="25"/>
      <c r="B25" s="488" t="s">
        <v>1027</v>
      </c>
      <c r="C25" s="488"/>
      <c r="D25" s="488"/>
      <c r="E25" s="488"/>
      <c r="F25" s="488"/>
      <c r="G25" s="488"/>
    </row>
    <row r="26" spans="1:7">
      <c r="A26" s="25"/>
      <c r="B26" s="24">
        <v>2005</v>
      </c>
      <c r="C26" s="448">
        <v>2006</v>
      </c>
      <c r="D26" s="448">
        <v>2007</v>
      </c>
      <c r="E26" s="448">
        <v>2008</v>
      </c>
      <c r="F26" s="448">
        <v>2009</v>
      </c>
      <c r="G26" s="448">
        <v>2010</v>
      </c>
    </row>
    <row r="27" spans="1:7">
      <c r="A27" s="100" t="s">
        <v>137</v>
      </c>
      <c r="B27" s="104"/>
      <c r="C27" s="104"/>
      <c r="D27" s="104"/>
      <c r="E27" s="104"/>
      <c r="F27" s="104"/>
      <c r="G27" s="104"/>
    </row>
    <row r="28" spans="1:7">
      <c r="A28" s="168" t="s">
        <v>138</v>
      </c>
      <c r="B28" s="85">
        <v>3362.5</v>
      </c>
      <c r="C28" s="85">
        <v>3603.5</v>
      </c>
      <c r="D28" s="85">
        <v>3062.8</v>
      </c>
      <c r="E28" s="85">
        <v>2357.4</v>
      </c>
      <c r="F28" s="85">
        <v>2179.3000000000002</v>
      </c>
      <c r="G28" s="85">
        <v>2307.6999999999998</v>
      </c>
    </row>
    <row r="29" spans="1:7" ht="13.8" thickBot="1">
      <c r="A29" s="394" t="s">
        <v>143</v>
      </c>
      <c r="B29" s="76">
        <v>3833.3</v>
      </c>
      <c r="C29" s="76">
        <v>4108</v>
      </c>
      <c r="D29" s="76">
        <v>3491.6</v>
      </c>
      <c r="E29" s="76">
        <v>2687.5</v>
      </c>
      <c r="F29" s="76">
        <v>2484.4</v>
      </c>
      <c r="G29" s="76">
        <v>2630.8</v>
      </c>
    </row>
    <row r="30" spans="1:7">
      <c r="A30" s="339" t="s">
        <v>139</v>
      </c>
      <c r="B30" s="228"/>
      <c r="C30" s="228"/>
      <c r="D30" s="228"/>
      <c r="E30" s="228"/>
      <c r="F30" s="228"/>
      <c r="G30" s="228"/>
    </row>
    <row r="31" spans="1:7">
      <c r="A31" s="394" t="s">
        <v>140</v>
      </c>
      <c r="B31" s="75">
        <v>546.4</v>
      </c>
      <c r="C31" s="75">
        <v>292.89999999999998</v>
      </c>
      <c r="D31" s="75">
        <v>271.89999999999998</v>
      </c>
      <c r="E31" s="75">
        <v>250.8</v>
      </c>
      <c r="F31" s="75">
        <v>171.6</v>
      </c>
      <c r="G31" s="75">
        <v>181.6</v>
      </c>
    </row>
    <row r="32" spans="1:7" ht="13.8" thickBot="1">
      <c r="A32" s="395" t="s">
        <v>143</v>
      </c>
      <c r="B32" s="99">
        <v>148</v>
      </c>
      <c r="C32" s="229">
        <v>95.2</v>
      </c>
      <c r="D32" s="229">
        <v>88.4</v>
      </c>
      <c r="E32" s="229">
        <v>81.5</v>
      </c>
      <c r="F32" s="229">
        <v>55.8</v>
      </c>
      <c r="G32" s="99">
        <v>59</v>
      </c>
    </row>
    <row r="33" spans="1:7">
      <c r="A33" s="100" t="s">
        <v>141</v>
      </c>
      <c r="B33" s="104"/>
      <c r="C33" s="104"/>
      <c r="D33" s="104"/>
      <c r="E33" s="104"/>
      <c r="F33" s="104"/>
      <c r="G33" s="104"/>
    </row>
    <row r="34" spans="1:7">
      <c r="A34" s="168" t="s">
        <v>142</v>
      </c>
      <c r="B34" s="104">
        <v>374.3</v>
      </c>
      <c r="C34" s="104">
        <v>231.7</v>
      </c>
      <c r="D34" s="104">
        <v>191.3</v>
      </c>
      <c r="E34" s="104">
        <v>204.3</v>
      </c>
      <c r="F34" s="104">
        <v>180.4</v>
      </c>
      <c r="G34" s="104">
        <v>200.2</v>
      </c>
    </row>
    <row r="35" spans="1:7">
      <c r="A35" s="168" t="s">
        <v>143</v>
      </c>
      <c r="B35" s="104">
        <v>46.8</v>
      </c>
      <c r="C35" s="104">
        <v>33.1</v>
      </c>
      <c r="D35" s="104">
        <v>27.3</v>
      </c>
      <c r="E35" s="104">
        <v>29.3</v>
      </c>
      <c r="F35" s="104">
        <v>25.8</v>
      </c>
      <c r="G35" s="104">
        <v>28.6</v>
      </c>
    </row>
    <row r="36" spans="1:7" ht="13.8" thickBot="1">
      <c r="A36" s="68" t="s">
        <v>749</v>
      </c>
      <c r="B36" s="106">
        <v>4028.1</v>
      </c>
      <c r="C36" s="235">
        <f>C29+C32+C35</f>
        <v>4236.3</v>
      </c>
      <c r="D36" s="235">
        <f>D29+D32+D35</f>
        <v>3607.3</v>
      </c>
      <c r="E36" s="235">
        <f>E29+E32+E35</f>
        <v>2798.3</v>
      </c>
      <c r="F36" s="235">
        <f>F29+F32+F35</f>
        <v>2566.0000000000005</v>
      </c>
      <c r="G36" s="235">
        <f>G29+G32+G35</f>
        <v>2718.4</v>
      </c>
    </row>
    <row r="37" spans="1:7" ht="12.75" customHeight="1" thickTop="1">
      <c r="A37" s="593" t="s">
        <v>748</v>
      </c>
      <c r="B37" s="593"/>
      <c r="C37" s="593"/>
      <c r="D37" s="593"/>
      <c r="E37" s="593"/>
      <c r="F37" s="593"/>
      <c r="G37" s="593"/>
    </row>
    <row r="38" spans="1:7" ht="22.5" customHeight="1">
      <c r="A38" s="226" t="s">
        <v>144</v>
      </c>
      <c r="B38" s="28"/>
      <c r="C38" s="28"/>
      <c r="D38" s="28"/>
      <c r="E38" s="28"/>
      <c r="F38" s="28"/>
      <c r="G38" s="28"/>
    </row>
    <row r="39" spans="1:7" ht="13.95" customHeight="1">
      <c r="A39" s="24"/>
      <c r="B39" s="30"/>
      <c r="C39" s="30"/>
      <c r="D39" s="30"/>
      <c r="E39" s="488" t="s">
        <v>1027</v>
      </c>
      <c r="F39" s="488"/>
      <c r="G39" s="488"/>
    </row>
    <row r="40" spans="1:7">
      <c r="A40" s="24"/>
      <c r="B40" s="24"/>
      <c r="C40" s="24"/>
      <c r="D40" s="24"/>
      <c r="E40" s="448">
        <v>2008</v>
      </c>
      <c r="F40" s="448">
        <v>2009</v>
      </c>
      <c r="G40" s="448">
        <v>2010</v>
      </c>
    </row>
    <row r="41" spans="1:7" ht="13.8" thickBot="1">
      <c r="A41" s="105" t="s">
        <v>145</v>
      </c>
      <c r="B41" s="128"/>
      <c r="C41" s="128"/>
      <c r="D41" s="128"/>
      <c r="E41" s="128">
        <v>4.9000000000000004</v>
      </c>
      <c r="F41" s="128">
        <v>7.4</v>
      </c>
      <c r="G41" s="194">
        <v>7</v>
      </c>
    </row>
    <row r="42" spans="1:7" ht="13.8" thickTop="1">
      <c r="A42" s="28"/>
      <c r="B42" s="28"/>
      <c r="C42" s="28"/>
      <c r="D42" s="28"/>
      <c r="E42" s="28"/>
      <c r="F42" s="28"/>
      <c r="G42" s="28"/>
    </row>
    <row r="43" spans="1:7">
      <c r="A43" s="487" t="s">
        <v>776</v>
      </c>
      <c r="B43" s="487"/>
      <c r="C43" s="487"/>
      <c r="D43" s="487"/>
      <c r="E43" s="487"/>
      <c r="F43" s="487"/>
      <c r="G43" s="22"/>
    </row>
  </sheetData>
  <sheetProtection password="CAF1" sheet="1" formatCells="0" formatColumns="0" formatRows="0" insertColumns="0" insertRows="0" insertHyperlinks="0" deleteColumns="0" deleteRows="0" sort="0" autoFilter="0" pivotTables="0"/>
  <mergeCells count="19">
    <mergeCell ref="E3:G3"/>
    <mergeCell ref="E17:G17"/>
    <mergeCell ref="B25:G25"/>
    <mergeCell ref="E39:G39"/>
    <mergeCell ref="A20:D20"/>
    <mergeCell ref="A22:D22"/>
    <mergeCell ref="A9:D9"/>
    <mergeCell ref="A11:D11"/>
    <mergeCell ref="A12:D12"/>
    <mergeCell ref="A13:D13"/>
    <mergeCell ref="A43:F43"/>
    <mergeCell ref="A5:D5"/>
    <mergeCell ref="A6:D6"/>
    <mergeCell ref="A7:D7"/>
    <mergeCell ref="A10:D10"/>
    <mergeCell ref="A8:D8"/>
    <mergeCell ref="A14:D14"/>
    <mergeCell ref="A15:D15"/>
    <mergeCell ref="A37:G37"/>
  </mergeCells>
  <phoneticPr fontId="27" type="noConversion"/>
  <hyperlinks>
    <hyperlink ref="A43:F43" location="Титул!A1" display="Вернуться к Содержанию"/>
  </hyperlinks>
  <pageMargins left="0.25" right="0.25" top="0.75" bottom="0.75" header="0.3" footer="0.3"/>
  <pageSetup paperSize="9" firstPageNumber="47" orientation="portrait" useFirstPageNumber="1" r:id="rId1"/>
  <headerFooter alignWithMargins="0">
    <oddHeader>&amp;L&amp;"Times New Roman,полужирный"Газпром в цифрах 2006-2010 гг.&amp;R&amp;"Times New Roman,полужирный"Справочник</oddHeader>
    <oddFooter>&amp;C&amp;P</oddFooter>
  </headerFooter>
</worksheet>
</file>

<file path=xl/worksheets/sheet31.xml><?xml version="1.0" encoding="utf-8"?>
<worksheet xmlns="http://schemas.openxmlformats.org/spreadsheetml/2006/main" xmlns:r="http://schemas.openxmlformats.org/officeDocument/2006/relationships">
  <sheetPr codeName="Лист31"/>
  <dimension ref="A1:G42"/>
  <sheetViews>
    <sheetView zoomScaleNormal="100" zoomScaleSheetLayoutView="100" workbookViewId="0"/>
  </sheetViews>
  <sheetFormatPr defaultColWidth="0" defaultRowHeight="13.2" zeroHeight="1" outlineLevelCol="1"/>
  <cols>
    <col min="1" max="1" width="56" style="2" customWidth="1"/>
    <col min="2" max="2" width="9" style="2" hidden="1" customWidth="1" outlineLevel="1"/>
    <col min="3" max="3" width="9" style="2" customWidth="1" collapsed="1"/>
    <col min="4" max="7" width="9" style="2" customWidth="1"/>
    <col min="8" max="16384" width="0" style="2" hidden="1"/>
  </cols>
  <sheetData>
    <row r="1" spans="1:7" ht="15.6">
      <c r="A1" s="51" t="s">
        <v>347</v>
      </c>
      <c r="B1" s="28"/>
      <c r="C1" s="28"/>
      <c r="D1" s="28"/>
      <c r="E1" s="28"/>
      <c r="F1" s="28"/>
      <c r="G1" s="28"/>
    </row>
    <row r="2" spans="1:7" ht="19.5" customHeight="1">
      <c r="A2" s="226" t="s">
        <v>146</v>
      </c>
      <c r="B2" s="28"/>
      <c r="C2" s="28"/>
      <c r="D2" s="28"/>
      <c r="E2" s="28"/>
      <c r="F2" s="28"/>
      <c r="G2" s="28"/>
    </row>
    <row r="3" spans="1:7">
      <c r="A3" s="24"/>
      <c r="B3" s="488" t="s">
        <v>1027</v>
      </c>
      <c r="C3" s="488"/>
      <c r="D3" s="488"/>
      <c r="E3" s="488"/>
      <c r="F3" s="488"/>
      <c r="G3" s="24"/>
    </row>
    <row r="4" spans="1:7">
      <c r="A4" s="24"/>
      <c r="B4" s="24">
        <v>2005</v>
      </c>
      <c r="C4" s="448">
        <v>2006</v>
      </c>
      <c r="D4" s="448">
        <v>2007</v>
      </c>
      <c r="E4" s="448">
        <v>2008</v>
      </c>
      <c r="F4" s="448">
        <v>2009</v>
      </c>
      <c r="G4" s="448">
        <v>2010</v>
      </c>
    </row>
    <row r="5" spans="1:7" ht="13.8" thickBot="1">
      <c r="A5" s="177" t="s">
        <v>147</v>
      </c>
      <c r="B5" s="128">
        <v>396.8</v>
      </c>
      <c r="C5" s="128">
        <v>432.2</v>
      </c>
      <c r="D5" s="128">
        <v>436.1</v>
      </c>
      <c r="E5" s="128">
        <v>456.2</v>
      </c>
      <c r="F5" s="128">
        <v>383.4</v>
      </c>
      <c r="G5" s="128">
        <v>389.7</v>
      </c>
    </row>
    <row r="6" spans="1:7" ht="23.25" customHeight="1" thickTop="1">
      <c r="A6" s="396" t="s">
        <v>148</v>
      </c>
      <c r="B6" s="28"/>
      <c r="C6" s="28"/>
      <c r="D6" s="28"/>
      <c r="E6" s="28"/>
      <c r="F6" s="28"/>
      <c r="G6" s="28"/>
    </row>
    <row r="7" spans="1:7" ht="13.2" customHeight="1">
      <c r="A7" s="512"/>
      <c r="B7" s="30"/>
      <c r="C7" s="30"/>
      <c r="D7" s="30"/>
      <c r="E7" s="488" t="s">
        <v>1027</v>
      </c>
      <c r="F7" s="488"/>
      <c r="G7" s="488"/>
    </row>
    <row r="8" spans="1:7">
      <c r="A8" s="512"/>
      <c r="B8" s="24"/>
      <c r="C8" s="24"/>
      <c r="D8" s="24"/>
      <c r="E8" s="448">
        <v>2008</v>
      </c>
      <c r="F8" s="448">
        <v>2009</v>
      </c>
      <c r="G8" s="448">
        <v>2010</v>
      </c>
    </row>
    <row r="9" spans="1:7" ht="22.95" customHeight="1">
      <c r="A9" s="100" t="s">
        <v>369</v>
      </c>
      <c r="B9" s="84"/>
      <c r="C9" s="84"/>
      <c r="D9" s="84"/>
      <c r="E9" s="84"/>
      <c r="F9" s="84"/>
      <c r="G9" s="84"/>
    </row>
    <row r="10" spans="1:7">
      <c r="A10" s="59" t="s">
        <v>604</v>
      </c>
      <c r="B10" s="104"/>
      <c r="C10" s="104"/>
      <c r="D10" s="104"/>
      <c r="E10" s="104">
        <v>234.6</v>
      </c>
      <c r="F10" s="104">
        <v>236.9</v>
      </c>
      <c r="G10" s="299">
        <v>219.3</v>
      </c>
    </row>
    <row r="11" spans="1:7">
      <c r="A11" s="297" t="s">
        <v>1114</v>
      </c>
      <c r="B11" s="104"/>
      <c r="C11" s="104"/>
      <c r="D11" s="104"/>
      <c r="E11" s="104">
        <v>48.2</v>
      </c>
      <c r="F11" s="104">
        <v>62.2</v>
      </c>
      <c r="G11" s="299">
        <v>62.5</v>
      </c>
    </row>
    <row r="12" spans="1:7">
      <c r="A12" s="59" t="s">
        <v>1115</v>
      </c>
      <c r="B12" s="104"/>
      <c r="C12" s="104"/>
      <c r="D12" s="104"/>
      <c r="E12" s="104">
        <v>93.5</v>
      </c>
      <c r="F12" s="104">
        <v>94.5</v>
      </c>
      <c r="G12" s="299">
        <v>118.8</v>
      </c>
    </row>
    <row r="13" spans="1:7" ht="13.8" thickBot="1">
      <c r="A13" s="71" t="s">
        <v>580</v>
      </c>
      <c r="B13" s="79"/>
      <c r="C13" s="79"/>
      <c r="D13" s="79"/>
      <c r="E13" s="79">
        <v>376.3</v>
      </c>
      <c r="F13" s="79">
        <v>393.6</v>
      </c>
      <c r="G13" s="397">
        <f>SUM(G10:G12)</f>
        <v>400.6</v>
      </c>
    </row>
    <row r="14" spans="1:7">
      <c r="A14" s="230" t="s">
        <v>1116</v>
      </c>
      <c r="B14" s="228"/>
      <c r="C14" s="228"/>
      <c r="D14" s="228"/>
      <c r="E14" s="228"/>
      <c r="F14" s="228"/>
      <c r="G14" s="75"/>
    </row>
    <row r="15" spans="1:7">
      <c r="A15" s="166" t="s">
        <v>1117</v>
      </c>
      <c r="B15" s="398"/>
      <c r="C15" s="398"/>
      <c r="D15" s="398"/>
      <c r="E15" s="189">
        <v>0.11600000000000001</v>
      </c>
      <c r="F15" s="189">
        <v>0.123</v>
      </c>
      <c r="G15" s="399">
        <v>0.122</v>
      </c>
    </row>
    <row r="16" spans="1:7">
      <c r="A16" s="166" t="s">
        <v>1118</v>
      </c>
      <c r="B16" s="398"/>
      <c r="C16" s="398"/>
      <c r="D16" s="398"/>
      <c r="E16" s="189">
        <v>0.22600000000000001</v>
      </c>
      <c r="F16" s="189">
        <v>0.23499999999999999</v>
      </c>
      <c r="G16" s="399">
        <v>0.24299999999999999</v>
      </c>
    </row>
    <row r="17" spans="1:7">
      <c r="A17" s="166" t="s">
        <v>1119</v>
      </c>
      <c r="B17" s="398"/>
      <c r="C17" s="398"/>
      <c r="D17" s="398"/>
      <c r="E17" s="189">
        <v>0.61799999999999999</v>
      </c>
      <c r="F17" s="189">
        <v>0.61599999999999999</v>
      </c>
      <c r="G17" s="399">
        <v>0.59399999999999997</v>
      </c>
    </row>
    <row r="18" spans="1:7" ht="13.8" thickBot="1">
      <c r="A18" s="393" t="s">
        <v>1120</v>
      </c>
      <c r="B18" s="96"/>
      <c r="C18" s="96"/>
      <c r="D18" s="96"/>
      <c r="E18" s="176">
        <v>0.04</v>
      </c>
      <c r="F18" s="176">
        <v>2.5999999999999999E-2</v>
      </c>
      <c r="G18" s="400">
        <v>4.1000000000000002E-2</v>
      </c>
    </row>
    <row r="19" spans="1:7">
      <c r="A19" s="59" t="s">
        <v>1121</v>
      </c>
      <c r="B19" s="42"/>
      <c r="C19" s="42"/>
      <c r="D19" s="42"/>
      <c r="E19" s="42"/>
      <c r="F19" s="42"/>
      <c r="G19" s="42"/>
    </row>
    <row r="20" spans="1:7">
      <c r="A20" s="232" t="s">
        <v>1122</v>
      </c>
      <c r="B20" s="401"/>
      <c r="C20" s="401"/>
      <c r="D20" s="401"/>
      <c r="E20" s="402">
        <v>0.16700000000000001</v>
      </c>
      <c r="F20" s="402">
        <v>0.187</v>
      </c>
      <c r="G20" s="399">
        <v>0.183</v>
      </c>
    </row>
    <row r="21" spans="1:7">
      <c r="A21" s="232" t="s">
        <v>1123</v>
      </c>
      <c r="B21" s="401"/>
      <c r="C21" s="401"/>
      <c r="D21" s="401"/>
      <c r="E21" s="402">
        <v>0.27100000000000002</v>
      </c>
      <c r="F21" s="402">
        <v>0.26600000000000001</v>
      </c>
      <c r="G21" s="399">
        <v>0.27300000000000002</v>
      </c>
    </row>
    <row r="22" spans="1:7">
      <c r="A22" s="232" t="s">
        <v>1124</v>
      </c>
      <c r="B22" s="401"/>
      <c r="C22" s="401"/>
      <c r="D22" s="401"/>
      <c r="E22" s="402">
        <v>0.32800000000000001</v>
      </c>
      <c r="F22" s="402">
        <v>0.30599999999999999</v>
      </c>
      <c r="G22" s="399">
        <v>0.29799999999999999</v>
      </c>
    </row>
    <row r="23" spans="1:7" ht="13.8" thickBot="1">
      <c r="A23" s="403" t="s">
        <v>755</v>
      </c>
      <c r="B23" s="404"/>
      <c r="C23" s="404"/>
      <c r="D23" s="404"/>
      <c r="E23" s="405">
        <v>0.23400000000000001</v>
      </c>
      <c r="F23" s="405">
        <v>0.24099999999999999</v>
      </c>
      <c r="G23" s="406">
        <v>0.246</v>
      </c>
    </row>
    <row r="24" spans="1:7" ht="12.75" customHeight="1" thickTop="1">
      <c r="A24" s="584" t="s">
        <v>382</v>
      </c>
      <c r="B24" s="584"/>
      <c r="C24" s="584"/>
      <c r="D24" s="584"/>
      <c r="E24" s="584"/>
      <c r="F24" s="584"/>
      <c r="G24" s="584"/>
    </row>
    <row r="25" spans="1:7" ht="21.75" customHeight="1">
      <c r="A25" s="226" t="s">
        <v>1125</v>
      </c>
      <c r="B25" s="28"/>
      <c r="C25" s="28"/>
      <c r="D25" s="28"/>
      <c r="E25" s="28"/>
      <c r="F25" s="28"/>
      <c r="G25" s="28"/>
    </row>
    <row r="26" spans="1:7" ht="16.2" customHeight="1">
      <c r="A26" s="30"/>
      <c r="B26" s="30"/>
      <c r="C26" s="30"/>
      <c r="D26" s="30"/>
      <c r="E26" s="488" t="s">
        <v>1027</v>
      </c>
      <c r="F26" s="488"/>
      <c r="G26" s="488"/>
    </row>
    <row r="27" spans="1:7">
      <c r="A27" s="30"/>
      <c r="B27" s="24"/>
      <c r="C27" s="24"/>
      <c r="D27" s="24"/>
      <c r="E27" s="448">
        <v>2008</v>
      </c>
      <c r="F27" s="448">
        <v>2009</v>
      </c>
      <c r="G27" s="448">
        <v>2010</v>
      </c>
    </row>
    <row r="28" spans="1:7">
      <c r="A28" s="72" t="s">
        <v>891</v>
      </c>
      <c r="B28" s="84"/>
      <c r="C28" s="47"/>
      <c r="D28" s="47"/>
      <c r="E28" s="84"/>
      <c r="F28" s="47"/>
      <c r="G28" s="47"/>
    </row>
    <row r="29" spans="1:7">
      <c r="A29" s="168" t="s">
        <v>1126</v>
      </c>
      <c r="B29" s="407"/>
      <c r="C29" s="407"/>
      <c r="D29" s="407"/>
      <c r="E29" s="174">
        <v>0.79300000000000004</v>
      </c>
      <c r="F29" s="174">
        <v>0.80800000000000005</v>
      </c>
      <c r="G29" s="188">
        <v>0.79900000000000004</v>
      </c>
    </row>
    <row r="30" spans="1:7">
      <c r="A30" s="168" t="s">
        <v>1127</v>
      </c>
      <c r="B30" s="407"/>
      <c r="C30" s="407"/>
      <c r="D30" s="407"/>
      <c r="E30" s="174">
        <v>0.183</v>
      </c>
      <c r="F30" s="174">
        <v>0.17</v>
      </c>
      <c r="G30" s="188">
        <v>0.153</v>
      </c>
    </row>
    <row r="31" spans="1:7" ht="13.8" thickBot="1">
      <c r="A31" s="394" t="s">
        <v>1128</v>
      </c>
      <c r="B31" s="398"/>
      <c r="C31" s="398"/>
      <c r="D31" s="398"/>
      <c r="E31" s="189">
        <v>2.4E-2</v>
      </c>
      <c r="F31" s="189">
        <v>2.1999999999999999E-2</v>
      </c>
      <c r="G31" s="408">
        <v>4.8000000000000001E-2</v>
      </c>
    </row>
    <row r="32" spans="1:7">
      <c r="A32" s="343" t="s">
        <v>1129</v>
      </c>
      <c r="B32" s="228"/>
      <c r="C32" s="228"/>
      <c r="D32" s="228"/>
      <c r="E32" s="409"/>
      <c r="F32" s="409"/>
      <c r="G32" s="189"/>
    </row>
    <row r="33" spans="1:7">
      <c r="A33" s="394" t="s">
        <v>1126</v>
      </c>
      <c r="B33" s="398"/>
      <c r="C33" s="398"/>
      <c r="D33" s="398"/>
      <c r="E33" s="189">
        <v>0.75800000000000001</v>
      </c>
      <c r="F33" s="189">
        <v>0.78700000000000003</v>
      </c>
      <c r="G33" s="188">
        <v>0.76900000000000002</v>
      </c>
    </row>
    <row r="34" spans="1:7">
      <c r="A34" s="394" t="s">
        <v>1127</v>
      </c>
      <c r="B34" s="398"/>
      <c r="C34" s="398"/>
      <c r="D34" s="398"/>
      <c r="E34" s="189">
        <v>0.20699999999999999</v>
      </c>
      <c r="F34" s="189">
        <v>0.184</v>
      </c>
      <c r="G34" s="188">
        <v>0.17199999999999999</v>
      </c>
    </row>
    <row r="35" spans="1:7" ht="13.8" thickBot="1">
      <c r="A35" s="395" t="s">
        <v>1128</v>
      </c>
      <c r="B35" s="96"/>
      <c r="C35" s="96"/>
      <c r="D35" s="96"/>
      <c r="E35" s="176">
        <v>3.5000000000000003E-2</v>
      </c>
      <c r="F35" s="176">
        <v>2.9000000000000001E-2</v>
      </c>
      <c r="G35" s="408">
        <v>5.8999999999999997E-2</v>
      </c>
    </row>
    <row r="36" spans="1:7">
      <c r="A36" s="72" t="s">
        <v>1130</v>
      </c>
      <c r="B36" s="104"/>
      <c r="C36" s="104"/>
      <c r="D36" s="104"/>
      <c r="E36" s="174"/>
      <c r="F36" s="174"/>
      <c r="G36" s="174"/>
    </row>
    <row r="37" spans="1:7">
      <c r="A37" s="168" t="s">
        <v>1126</v>
      </c>
      <c r="B37" s="407"/>
      <c r="C37" s="407"/>
      <c r="D37" s="407"/>
      <c r="E37" s="174">
        <v>0.127</v>
      </c>
      <c r="F37" s="174">
        <v>0.13100000000000001</v>
      </c>
      <c r="G37" s="188">
        <v>0.14299999999999999</v>
      </c>
    </row>
    <row r="38" spans="1:7">
      <c r="A38" s="168" t="s">
        <v>1127</v>
      </c>
      <c r="B38" s="407"/>
      <c r="C38" s="407"/>
      <c r="D38" s="407"/>
      <c r="E38" s="174">
        <v>0.25900000000000001</v>
      </c>
      <c r="F38" s="174">
        <v>0.26700000000000002</v>
      </c>
      <c r="G38" s="188">
        <v>0.27700000000000002</v>
      </c>
    </row>
    <row r="39" spans="1:7" ht="13.8" thickBot="1">
      <c r="A39" s="391" t="s">
        <v>1128</v>
      </c>
      <c r="B39" s="410"/>
      <c r="C39" s="410"/>
      <c r="D39" s="410"/>
      <c r="E39" s="380">
        <v>0.61399999999999999</v>
      </c>
      <c r="F39" s="380">
        <v>0.60199999999999998</v>
      </c>
      <c r="G39" s="381">
        <v>0.57999999999999996</v>
      </c>
    </row>
    <row r="40" spans="1:7" ht="13.8" thickTop="1">
      <c r="A40" s="588" t="s">
        <v>890</v>
      </c>
      <c r="B40" s="588"/>
      <c r="C40" s="588"/>
      <c r="D40" s="588"/>
      <c r="E40" s="588"/>
      <c r="F40" s="588"/>
      <c r="G40" s="588"/>
    </row>
    <row r="41" spans="1:7">
      <c r="A41" s="114"/>
      <c r="B41" s="28"/>
      <c r="C41" s="28"/>
      <c r="D41" s="28"/>
      <c r="E41" s="28"/>
      <c r="F41" s="28"/>
      <c r="G41" s="28"/>
    </row>
    <row r="42" spans="1:7">
      <c r="A42" s="487" t="s">
        <v>776</v>
      </c>
      <c r="B42" s="487"/>
      <c r="C42" s="487"/>
      <c r="D42" s="487"/>
      <c r="E42" s="487"/>
      <c r="F42" s="487"/>
      <c r="G42" s="22"/>
    </row>
  </sheetData>
  <sheetProtection password="CAF1" sheet="1" formatCells="0" formatColumns="0" formatRows="0" insertColumns="0" insertRows="0" insertHyperlinks="0" deleteColumns="0" deleteRows="0" sort="0" autoFilter="0" pivotTables="0"/>
  <mergeCells count="7">
    <mergeCell ref="A42:F42"/>
    <mergeCell ref="B3:F3"/>
    <mergeCell ref="A7:A8"/>
    <mergeCell ref="E7:G7"/>
    <mergeCell ref="E26:G26"/>
    <mergeCell ref="A24:G24"/>
    <mergeCell ref="A40:G40"/>
  </mergeCells>
  <phoneticPr fontId="27" type="noConversion"/>
  <hyperlinks>
    <hyperlink ref="A42:F42" location="Титул!A1" display="Вернуться к Содержанию"/>
  </hyperlinks>
  <pageMargins left="0.25" right="0.25" top="0.75" bottom="0.75" header="0.3" footer="0.3"/>
  <pageSetup paperSize="9" firstPageNumber="48" orientation="portrait" useFirstPageNumber="1" r:id="rId1"/>
  <headerFooter alignWithMargins="0">
    <oddHeader>&amp;L&amp;"Times New Roman,полужирный"Газпром в цифрах 2006-2010 гг.&amp;R&amp;"Times New Roman,полужирный"Справочник</oddHeader>
    <oddFooter>&amp;C&amp;P</oddFooter>
  </headerFooter>
</worksheet>
</file>

<file path=xl/worksheets/sheet32.xml><?xml version="1.0" encoding="utf-8"?>
<worksheet xmlns="http://schemas.openxmlformats.org/spreadsheetml/2006/main" xmlns:r="http://schemas.openxmlformats.org/officeDocument/2006/relationships">
  <sheetPr codeName="Лист32"/>
  <dimension ref="A1:F24"/>
  <sheetViews>
    <sheetView zoomScaleNormal="100" zoomScaleSheetLayoutView="100" workbookViewId="0"/>
  </sheetViews>
  <sheetFormatPr defaultColWidth="0" defaultRowHeight="13.2" zeroHeight="1"/>
  <cols>
    <col min="1" max="1" width="41.88671875" style="2" customWidth="1"/>
    <col min="2" max="2" width="11.6640625" style="2" customWidth="1"/>
    <col min="3" max="3" width="47.44140625" style="2" customWidth="1"/>
    <col min="4" max="16384" width="0" style="2" hidden="1"/>
  </cols>
  <sheetData>
    <row r="1" spans="1:3" ht="17.399999999999999">
      <c r="A1" s="51" t="s">
        <v>348</v>
      </c>
      <c r="B1" s="411"/>
      <c r="C1" s="28"/>
    </row>
    <row r="2" spans="1:3">
      <c r="A2" s="24" t="s">
        <v>626</v>
      </c>
      <c r="B2" s="488" t="s">
        <v>627</v>
      </c>
      <c r="C2" s="488"/>
    </row>
    <row r="3" spans="1:3">
      <c r="A3" s="412" t="s">
        <v>628</v>
      </c>
      <c r="B3" s="412">
        <v>35.316000000000003</v>
      </c>
      <c r="C3" s="412" t="s">
        <v>674</v>
      </c>
    </row>
    <row r="4" spans="1:3">
      <c r="A4" s="412" t="s">
        <v>629</v>
      </c>
      <c r="B4" s="412">
        <v>2.8000000000000001E-2</v>
      </c>
      <c r="C4" s="412" t="s">
        <v>675</v>
      </c>
    </row>
    <row r="5" spans="1:3">
      <c r="A5" s="595" t="s">
        <v>630</v>
      </c>
      <c r="B5" s="413">
        <v>1000</v>
      </c>
      <c r="C5" s="412" t="s">
        <v>676</v>
      </c>
    </row>
    <row r="6" spans="1:3">
      <c r="A6" s="595"/>
      <c r="B6" s="414">
        <v>2204.6</v>
      </c>
      <c r="C6" s="412" t="s">
        <v>677</v>
      </c>
    </row>
    <row r="7" spans="1:3">
      <c r="A7" s="595"/>
      <c r="B7" s="412">
        <v>7.33</v>
      </c>
      <c r="C7" s="412" t="s">
        <v>678</v>
      </c>
    </row>
    <row r="8" spans="1:3">
      <c r="A8" s="412" t="s">
        <v>667</v>
      </c>
      <c r="B8" s="412">
        <v>8.18</v>
      </c>
      <c r="C8" s="412" t="s">
        <v>679</v>
      </c>
    </row>
    <row r="9" spans="1:3">
      <c r="A9" s="412" t="s">
        <v>668</v>
      </c>
      <c r="B9" s="412">
        <v>0.13639999999999999</v>
      </c>
      <c r="C9" s="412" t="s">
        <v>680</v>
      </c>
    </row>
    <row r="10" spans="1:3">
      <c r="A10" s="412" t="s">
        <v>669</v>
      </c>
      <c r="B10" s="412">
        <v>0.1222</v>
      </c>
      <c r="C10" s="412" t="s">
        <v>681</v>
      </c>
    </row>
    <row r="11" spans="1:3">
      <c r="A11" s="412" t="s">
        <v>670</v>
      </c>
      <c r="B11" s="412">
        <v>0.62</v>
      </c>
      <c r="C11" s="412" t="s">
        <v>682</v>
      </c>
    </row>
    <row r="12" spans="1:3">
      <c r="A12" s="595" t="s">
        <v>671</v>
      </c>
      <c r="B12" s="412">
        <v>867</v>
      </c>
      <c r="C12" s="412" t="s">
        <v>683</v>
      </c>
    </row>
    <row r="13" spans="1:3">
      <c r="A13" s="595"/>
      <c r="B13" s="412">
        <v>0.7</v>
      </c>
      <c r="C13" s="412" t="s">
        <v>684</v>
      </c>
    </row>
    <row r="14" spans="1:3">
      <c r="A14" s="595"/>
      <c r="B14" s="412">
        <v>0.7</v>
      </c>
      <c r="C14" s="412" t="s">
        <v>680</v>
      </c>
    </row>
    <row r="15" spans="1:3">
      <c r="A15" s="412" t="s">
        <v>672</v>
      </c>
      <c r="B15" s="412">
        <v>1.1539999999999999</v>
      </c>
      <c r="C15" s="412" t="s">
        <v>685</v>
      </c>
    </row>
    <row r="16" spans="1:3">
      <c r="A16" s="412" t="s">
        <v>673</v>
      </c>
      <c r="B16" s="596">
        <v>1.43</v>
      </c>
      <c r="C16" s="596" t="s">
        <v>685</v>
      </c>
    </row>
    <row r="17" spans="1:6">
      <c r="A17" s="412" t="s">
        <v>667</v>
      </c>
      <c r="B17" s="596"/>
      <c r="C17" s="596"/>
    </row>
    <row r="18" spans="1:6">
      <c r="A18" s="412" t="s">
        <v>458</v>
      </c>
      <c r="B18" s="412">
        <v>1</v>
      </c>
      <c r="C18" s="412" t="s">
        <v>686</v>
      </c>
    </row>
    <row r="19" spans="1:6">
      <c r="A19" s="412" t="s">
        <v>672</v>
      </c>
      <c r="B19" s="412">
        <v>5.89</v>
      </c>
      <c r="C19" s="412" t="s">
        <v>686</v>
      </c>
    </row>
    <row r="20" spans="1:6">
      <c r="A20" s="412" t="s">
        <v>446</v>
      </c>
      <c r="B20" s="412">
        <v>1.36</v>
      </c>
      <c r="C20" s="412" t="s">
        <v>447</v>
      </c>
    </row>
    <row r="21" spans="1:6">
      <c r="A21" s="20" t="s">
        <v>776</v>
      </c>
      <c r="B21" s="449"/>
      <c r="C21" s="449"/>
      <c r="D21" s="449"/>
      <c r="E21" s="449"/>
      <c r="F21" s="449"/>
    </row>
    <row r="22" spans="1:6" hidden="1"/>
    <row r="23" spans="1:6" hidden="1"/>
    <row r="24" spans="1:6" ht="12.75" hidden="1" customHeight="1"/>
  </sheetData>
  <sheetProtection password="CAF1" sheet="1" objects="1" scenarios="1" formatCells="0" formatColumns="0" formatRows="0" insertColumns="0" insertRows="0" insertHyperlinks="0" deleteColumns="0" deleteRows="0" sort="0" autoFilter="0" pivotTables="0"/>
  <mergeCells count="5">
    <mergeCell ref="B2:C2"/>
    <mergeCell ref="A12:A14"/>
    <mergeCell ref="A5:A7"/>
    <mergeCell ref="C16:C17"/>
    <mergeCell ref="B16:B17"/>
  </mergeCells>
  <phoneticPr fontId="27" type="noConversion"/>
  <hyperlinks>
    <hyperlink ref="A21" location="Титул!A1" display="Вернуться к Содержанию"/>
  </hyperlinks>
  <pageMargins left="0.25" right="0.25" top="0.75" bottom="0.75" header="0.3" footer="0.3"/>
  <pageSetup paperSize="9" firstPageNumber="49" orientation="portrait" useFirstPageNumber="1" r:id="rId1"/>
  <headerFooter alignWithMargins="0">
    <oddHeader>&amp;L&amp;"Times New Roman,полужирный"Газпром в цифрах 2006-2010 гг.&amp;R&amp;"Times New Roman,полужирный"Справочник</oddHeader>
    <oddFooter>&amp;C&amp;P</oddFooter>
  </headerFooter>
</worksheet>
</file>

<file path=xl/worksheets/sheet33.xml><?xml version="1.0" encoding="utf-8"?>
<worksheet xmlns="http://schemas.openxmlformats.org/spreadsheetml/2006/main" xmlns:r="http://schemas.openxmlformats.org/officeDocument/2006/relationships">
  <sheetPr codeName="Лист33"/>
  <dimension ref="A1:F38"/>
  <sheetViews>
    <sheetView zoomScaleNormal="100" zoomScaleSheetLayoutView="100" workbookViewId="0"/>
  </sheetViews>
  <sheetFormatPr defaultColWidth="0" defaultRowHeight="13.2" zeroHeight="1"/>
  <cols>
    <col min="1" max="1" width="28.109375" style="2" customWidth="1"/>
    <col min="2" max="2" width="91.88671875" style="2" customWidth="1"/>
    <col min="3" max="16384" width="0" style="2" hidden="1"/>
  </cols>
  <sheetData>
    <row r="1" spans="1:2" ht="15.6">
      <c r="A1" s="51" t="s">
        <v>349</v>
      </c>
      <c r="B1" s="28"/>
    </row>
    <row r="2" spans="1:2">
      <c r="A2" s="25" t="s">
        <v>687</v>
      </c>
      <c r="B2" s="25" t="s">
        <v>926</v>
      </c>
    </row>
    <row r="3" spans="1:2">
      <c r="A3" s="36" t="s">
        <v>889</v>
      </c>
      <c r="B3" s="322" t="s">
        <v>899</v>
      </c>
    </row>
    <row r="4" spans="1:2" ht="20.399999999999999">
      <c r="A4" s="36" t="s">
        <v>688</v>
      </c>
      <c r="B4" s="322" t="s">
        <v>689</v>
      </c>
    </row>
    <row r="5" spans="1:2">
      <c r="A5" s="36" t="s">
        <v>690</v>
      </c>
      <c r="B5" s="322" t="s">
        <v>691</v>
      </c>
    </row>
    <row r="6" spans="1:2">
      <c r="A6" s="36" t="s">
        <v>686</v>
      </c>
      <c r="B6" s="322" t="s">
        <v>692</v>
      </c>
    </row>
    <row r="7" spans="1:2" ht="19.5" customHeight="1">
      <c r="A7" s="36" t="s">
        <v>693</v>
      </c>
      <c r="B7" s="322" t="s">
        <v>694</v>
      </c>
    </row>
    <row r="8" spans="1:2">
      <c r="A8" s="36" t="s">
        <v>695</v>
      </c>
      <c r="B8" s="322" t="s">
        <v>696</v>
      </c>
    </row>
    <row r="9" spans="1:2">
      <c r="A9" s="36" t="s">
        <v>697</v>
      </c>
      <c r="B9" s="322" t="s">
        <v>910</v>
      </c>
    </row>
    <row r="10" spans="1:2">
      <c r="A10" s="36" t="s">
        <v>698</v>
      </c>
      <c r="B10" s="322" t="s">
        <v>699</v>
      </c>
    </row>
    <row r="11" spans="1:2">
      <c r="A11" s="415" t="s">
        <v>700</v>
      </c>
      <c r="B11" s="322" t="s">
        <v>701</v>
      </c>
    </row>
    <row r="12" spans="1:2">
      <c r="A12" s="36" t="s">
        <v>702</v>
      </c>
      <c r="B12" s="322" t="s">
        <v>703</v>
      </c>
    </row>
    <row r="13" spans="1:2">
      <c r="A13" s="36" t="s">
        <v>203</v>
      </c>
      <c r="B13" s="322" t="s">
        <v>704</v>
      </c>
    </row>
    <row r="14" spans="1:2">
      <c r="A14" s="36" t="s">
        <v>1024</v>
      </c>
      <c r="B14" s="322" t="s">
        <v>705</v>
      </c>
    </row>
    <row r="15" spans="1:2">
      <c r="A15" s="36" t="s">
        <v>706</v>
      </c>
      <c r="B15" s="322" t="s">
        <v>707</v>
      </c>
    </row>
    <row r="16" spans="1:2" ht="39.75" customHeight="1">
      <c r="A16" s="36" t="s">
        <v>708</v>
      </c>
      <c r="B16" s="322" t="s">
        <v>709</v>
      </c>
    </row>
    <row r="17" spans="1:2">
      <c r="A17" s="36" t="s">
        <v>710</v>
      </c>
      <c r="B17" s="322" t="s">
        <v>711</v>
      </c>
    </row>
    <row r="18" spans="1:2">
      <c r="A18" s="36" t="s">
        <v>712</v>
      </c>
      <c r="B18" s="322" t="s">
        <v>713</v>
      </c>
    </row>
    <row r="19" spans="1:2">
      <c r="A19" s="36" t="s">
        <v>714</v>
      </c>
      <c r="B19" s="322" t="s">
        <v>715</v>
      </c>
    </row>
    <row r="20" spans="1:2">
      <c r="A20" s="36" t="s">
        <v>716</v>
      </c>
      <c r="B20" s="322" t="s">
        <v>717</v>
      </c>
    </row>
    <row r="21" spans="1:2">
      <c r="A21" s="36" t="s">
        <v>718</v>
      </c>
      <c r="B21" s="322" t="s">
        <v>719</v>
      </c>
    </row>
    <row r="22" spans="1:2">
      <c r="A22" s="36" t="s">
        <v>720</v>
      </c>
      <c r="B22" s="322" t="s">
        <v>721</v>
      </c>
    </row>
    <row r="23" spans="1:2" ht="12.75" customHeight="1">
      <c r="A23" s="36" t="s">
        <v>722</v>
      </c>
      <c r="B23" s="322" t="s">
        <v>723</v>
      </c>
    </row>
    <row r="24" spans="1:2">
      <c r="A24" s="36" t="s">
        <v>724</v>
      </c>
      <c r="B24" s="322" t="s">
        <v>725</v>
      </c>
    </row>
    <row r="25" spans="1:2" ht="124.2" customHeight="1">
      <c r="A25" s="36" t="s">
        <v>726</v>
      </c>
      <c r="B25" s="322" t="s">
        <v>95</v>
      </c>
    </row>
    <row r="26" spans="1:2">
      <c r="A26" s="36" t="s">
        <v>162</v>
      </c>
      <c r="B26" s="322" t="s">
        <v>96</v>
      </c>
    </row>
    <row r="27" spans="1:2">
      <c r="A27" s="36" t="s">
        <v>97</v>
      </c>
      <c r="B27" s="322" t="s">
        <v>98</v>
      </c>
    </row>
    <row r="28" spans="1:2">
      <c r="A28" s="36" t="s">
        <v>99</v>
      </c>
      <c r="B28" s="322" t="s">
        <v>100</v>
      </c>
    </row>
    <row r="29" spans="1:2">
      <c r="A29" s="36" t="s">
        <v>101</v>
      </c>
      <c r="B29" s="322" t="s">
        <v>102</v>
      </c>
    </row>
    <row r="30" spans="1:2">
      <c r="A30" s="36" t="s">
        <v>956</v>
      </c>
      <c r="B30" s="322" t="s">
        <v>103</v>
      </c>
    </row>
    <row r="31" spans="1:2">
      <c r="A31" s="36" t="s">
        <v>888</v>
      </c>
      <c r="B31" s="322" t="s">
        <v>112</v>
      </c>
    </row>
    <row r="32" spans="1:2">
      <c r="A32" s="36" t="s">
        <v>104</v>
      </c>
      <c r="B32" s="322" t="s">
        <v>105</v>
      </c>
    </row>
    <row r="33" spans="1:6">
      <c r="A33" s="36" t="s">
        <v>106</v>
      </c>
      <c r="B33" s="322" t="s">
        <v>107</v>
      </c>
    </row>
    <row r="34" spans="1:6" ht="48.75" customHeight="1">
      <c r="A34" s="36" t="s">
        <v>322</v>
      </c>
      <c r="B34" s="322" t="s">
        <v>957</v>
      </c>
    </row>
    <row r="35" spans="1:6">
      <c r="A35" s="36" t="s">
        <v>108</v>
      </c>
      <c r="B35" s="322" t="s">
        <v>109</v>
      </c>
    </row>
    <row r="36" spans="1:6" ht="13.8" thickBot="1">
      <c r="A36" s="177" t="s">
        <v>110</v>
      </c>
      <c r="B36" s="416" t="s">
        <v>111</v>
      </c>
    </row>
    <row r="37" spans="1:6" ht="13.8" thickTop="1">
      <c r="A37" s="28"/>
      <c r="B37" s="28"/>
    </row>
    <row r="38" spans="1:6">
      <c r="A38" s="20" t="s">
        <v>776</v>
      </c>
      <c r="B38" s="450"/>
      <c r="C38" s="449"/>
      <c r="D38" s="449"/>
      <c r="E38" s="449"/>
      <c r="F38" s="449"/>
    </row>
  </sheetData>
  <sheetProtection password="CAF1" sheet="1" formatCells="0" formatColumns="0" formatRows="0" insertColumns="0" insertRows="0" insertHyperlinks="0" deleteColumns="0" deleteRows="0" sort="0" autoFilter="0" pivotTables="0"/>
  <phoneticPr fontId="27" type="noConversion"/>
  <hyperlinks>
    <hyperlink ref="A38" location="Титул!A1" display="Вернуться к Содержанию"/>
  </hyperlinks>
  <pageMargins left="0.25" right="0.25" top="0.75" bottom="0.75" header="0.3" footer="0.3"/>
  <pageSetup paperSize="9" scale="84" firstPageNumber="50" orientation="portrait" useFirstPageNumber="1" r:id="rId1"/>
  <headerFooter alignWithMargins="0">
    <oddHeader>&amp;L&amp;"Times New Roman,полужирный"Газпром в цифрах 2006-2010 гг.&amp;R&amp;"Times New Roman,полужирный"Справочник</oddHeader>
    <oddFooter>&amp;C&amp;P</oddFooter>
  </headerFooter>
</worksheet>
</file>

<file path=xl/worksheets/sheet4.xml><?xml version="1.0" encoding="utf-8"?>
<worksheet xmlns="http://schemas.openxmlformats.org/spreadsheetml/2006/main" xmlns:r="http://schemas.openxmlformats.org/officeDocument/2006/relationships">
  <sheetPr codeName="Лист4"/>
  <dimension ref="A1:I39"/>
  <sheetViews>
    <sheetView zoomScaleNormal="100" zoomScaleSheetLayoutView="100" workbookViewId="0"/>
  </sheetViews>
  <sheetFormatPr defaultColWidth="0" defaultRowHeight="13.2" zeroHeight="1" outlineLevelCol="1"/>
  <cols>
    <col min="1" max="1" width="50.5546875" style="4" customWidth="1"/>
    <col min="2" max="2" width="11.6640625" style="4" customWidth="1"/>
    <col min="3" max="3" width="7.6640625" style="4" hidden="1" customWidth="1" outlineLevel="1"/>
    <col min="4" max="4" width="7.6640625" style="4" customWidth="1" collapsed="1"/>
    <col min="5" max="8" width="7.6640625" style="4" customWidth="1"/>
    <col min="9" max="16384" width="0" style="4" hidden="1"/>
  </cols>
  <sheetData>
    <row r="1" spans="1:9" ht="15.6">
      <c r="A1" s="130" t="s">
        <v>791</v>
      </c>
      <c r="B1" s="29"/>
      <c r="C1" s="29"/>
      <c r="D1" s="29"/>
      <c r="E1" s="29"/>
      <c r="F1" s="29"/>
      <c r="G1" s="29"/>
      <c r="H1" s="29"/>
    </row>
    <row r="2" spans="1:9" ht="12.75" customHeight="1">
      <c r="A2" s="488" t="s">
        <v>430</v>
      </c>
      <c r="B2" s="488" t="s">
        <v>790</v>
      </c>
      <c r="C2" s="491" t="s">
        <v>350</v>
      </c>
      <c r="D2" s="491"/>
      <c r="E2" s="491"/>
      <c r="F2" s="491"/>
      <c r="G2" s="491"/>
      <c r="H2" s="491"/>
    </row>
    <row r="3" spans="1:9" s="5" customFormat="1">
      <c r="A3" s="488"/>
      <c r="B3" s="488"/>
      <c r="C3" s="137">
        <v>2005</v>
      </c>
      <c r="D3" s="137">
        <v>2006</v>
      </c>
      <c r="E3" s="137">
        <v>2007</v>
      </c>
      <c r="F3" s="137">
        <v>2008</v>
      </c>
      <c r="G3" s="137">
        <v>2009</v>
      </c>
      <c r="H3" s="137">
        <v>2010</v>
      </c>
    </row>
    <row r="4" spans="1:9" ht="25.5" customHeight="1">
      <c r="A4" s="55" t="s">
        <v>385</v>
      </c>
      <c r="B4" s="138" t="s">
        <v>14</v>
      </c>
      <c r="C4" s="174">
        <v>0.109</v>
      </c>
      <c r="D4" s="174">
        <v>0.09</v>
      </c>
      <c r="E4" s="160">
        <v>0.11899999999999999</v>
      </c>
      <c r="F4" s="160">
        <v>0.13300000000000001</v>
      </c>
      <c r="G4" s="175">
        <v>8.7999999999999995E-2</v>
      </c>
      <c r="H4" s="454">
        <v>8.7999999999999995E-2</v>
      </c>
      <c r="I4" s="15"/>
    </row>
    <row r="5" spans="1:9" ht="25.5" customHeight="1" thickBot="1">
      <c r="A5" s="64" t="s">
        <v>386</v>
      </c>
      <c r="B5" s="142" t="s">
        <v>14</v>
      </c>
      <c r="C5" s="176">
        <v>0.13400000000000001</v>
      </c>
      <c r="D5" s="176">
        <v>0.104</v>
      </c>
      <c r="E5" s="161">
        <v>0.251</v>
      </c>
      <c r="F5" s="161">
        <v>-7.0000000000000007E-2</v>
      </c>
      <c r="G5" s="161">
        <v>0.13900000000000001</v>
      </c>
      <c r="H5" s="455">
        <v>0.16700000000000001</v>
      </c>
      <c r="I5" s="15"/>
    </row>
    <row r="6" spans="1:9" ht="37.200000000000003" customHeight="1">
      <c r="A6" s="113" t="s">
        <v>906</v>
      </c>
      <c r="B6" s="138" t="s">
        <v>14</v>
      </c>
      <c r="C6" s="160">
        <v>-3.1E-2</v>
      </c>
      <c r="D6" s="160">
        <v>9.6000000000000002E-2</v>
      </c>
      <c r="E6" s="160">
        <v>7.0000000000000007E-2</v>
      </c>
      <c r="F6" s="160">
        <v>-0.127</v>
      </c>
      <c r="G6" s="160">
        <v>-0.06</v>
      </c>
      <c r="H6" s="178">
        <v>-0.03</v>
      </c>
      <c r="I6" s="15"/>
    </row>
    <row r="7" spans="1:9" ht="38.25" customHeight="1">
      <c r="A7" s="55" t="s">
        <v>907</v>
      </c>
      <c r="B7" s="138" t="s">
        <v>14</v>
      </c>
      <c r="C7" s="174">
        <v>3.9E-2</v>
      </c>
      <c r="D7" s="174">
        <v>0.16700000000000001</v>
      </c>
      <c r="E7" s="160">
        <v>0.15</v>
      </c>
      <c r="F7" s="160">
        <v>-1.0999999999999999E-2</v>
      </c>
      <c r="G7" s="160">
        <v>-4.0000000000000001E-3</v>
      </c>
      <c r="H7" s="454">
        <v>0.04</v>
      </c>
      <c r="I7" s="15"/>
    </row>
    <row r="8" spans="1:9">
      <c r="A8" s="55" t="s">
        <v>904</v>
      </c>
      <c r="B8" s="138" t="s">
        <v>903</v>
      </c>
      <c r="C8" s="179">
        <v>28.28</v>
      </c>
      <c r="D8" s="139">
        <v>27.18</v>
      </c>
      <c r="E8" s="139">
        <v>25.57</v>
      </c>
      <c r="F8" s="139">
        <v>24.81</v>
      </c>
      <c r="G8" s="139">
        <v>31.68</v>
      </c>
      <c r="H8" s="140">
        <v>30.36</v>
      </c>
      <c r="I8" s="15"/>
    </row>
    <row r="9" spans="1:9" ht="13.8" thickBot="1">
      <c r="A9" s="61" t="s">
        <v>905</v>
      </c>
      <c r="B9" s="142" t="s">
        <v>903</v>
      </c>
      <c r="C9" s="180">
        <v>28.78</v>
      </c>
      <c r="D9" s="180">
        <v>26.33</v>
      </c>
      <c r="E9" s="143">
        <v>24.55</v>
      </c>
      <c r="F9" s="143">
        <v>29.38</v>
      </c>
      <c r="G9" s="143">
        <v>30.24</v>
      </c>
      <c r="H9" s="143">
        <v>30.48</v>
      </c>
      <c r="I9" s="15"/>
    </row>
    <row r="10" spans="1:9" ht="36.6" customHeight="1">
      <c r="A10" s="55" t="s">
        <v>210</v>
      </c>
      <c r="B10" s="138" t="s">
        <v>14</v>
      </c>
      <c r="C10" s="160">
        <v>9.2999999999999999E-2</v>
      </c>
      <c r="D10" s="160">
        <v>-1.7000000000000001E-2</v>
      </c>
      <c r="E10" s="160">
        <v>-0.03</v>
      </c>
      <c r="F10" s="160">
        <v>-5.6000000000000001E-2</v>
      </c>
      <c r="G10" s="160">
        <v>-0.13400000000000001</v>
      </c>
      <c r="H10" s="454">
        <v>7.3999999999999996E-2</v>
      </c>
      <c r="I10" s="15"/>
    </row>
    <row r="11" spans="1:9" ht="25.5" customHeight="1">
      <c r="A11" s="55" t="s">
        <v>352</v>
      </c>
      <c r="B11" s="138" t="s">
        <v>14</v>
      </c>
      <c r="C11" s="174">
        <v>0.188</v>
      </c>
      <c r="D11" s="174">
        <v>5.6000000000000001E-2</v>
      </c>
      <c r="E11" s="160">
        <v>5.8000000000000003E-2</v>
      </c>
      <c r="F11" s="160">
        <v>0.05</v>
      </c>
      <c r="G11" s="160">
        <v>-6.5000000000000002E-2</v>
      </c>
      <c r="H11" s="454">
        <v>0.14499999999999999</v>
      </c>
      <c r="I11" s="15"/>
    </row>
    <row r="12" spans="1:9">
      <c r="A12" s="55" t="s">
        <v>353</v>
      </c>
      <c r="B12" s="138" t="s">
        <v>354</v>
      </c>
      <c r="C12" s="179">
        <v>35.26</v>
      </c>
      <c r="D12" s="139">
        <v>34.11</v>
      </c>
      <c r="E12" s="139">
        <v>35.01</v>
      </c>
      <c r="F12" s="139">
        <v>36.409999999999997</v>
      </c>
      <c r="G12" s="139">
        <v>44.13</v>
      </c>
      <c r="H12" s="140">
        <v>40.270000000000003</v>
      </c>
      <c r="I12" s="15"/>
    </row>
    <row r="13" spans="1:9" ht="13.8" thickBot="1">
      <c r="A13" s="61" t="s">
        <v>355</v>
      </c>
      <c r="B13" s="142" t="s">
        <v>354</v>
      </c>
      <c r="C13" s="180">
        <v>34.19</v>
      </c>
      <c r="D13" s="180">
        <v>34.700000000000003</v>
      </c>
      <c r="E13" s="143">
        <v>35.93</v>
      </c>
      <c r="F13" s="143">
        <v>41.44</v>
      </c>
      <c r="G13" s="143">
        <v>43.39</v>
      </c>
      <c r="H13" s="181">
        <v>40.33</v>
      </c>
      <c r="I13" s="15"/>
    </row>
    <row r="14" spans="1:9">
      <c r="A14" s="55" t="s">
        <v>288</v>
      </c>
      <c r="B14" s="138" t="s">
        <v>902</v>
      </c>
      <c r="C14" s="182">
        <v>58.21</v>
      </c>
      <c r="D14" s="182">
        <v>58.93</v>
      </c>
      <c r="E14" s="181">
        <v>96.02</v>
      </c>
      <c r="F14" s="181">
        <v>36.549999999999997</v>
      </c>
      <c r="G14" s="181">
        <v>77.67</v>
      </c>
      <c r="H14" s="149">
        <v>92.54</v>
      </c>
      <c r="I14" s="15"/>
    </row>
    <row r="15" spans="1:9">
      <c r="A15" s="55" t="s">
        <v>115</v>
      </c>
      <c r="B15" s="138" t="s">
        <v>902</v>
      </c>
      <c r="C15" s="179">
        <v>53.61</v>
      </c>
      <c r="D15" s="179">
        <v>55.26</v>
      </c>
      <c r="E15" s="139">
        <v>93.09</v>
      </c>
      <c r="F15" s="139">
        <v>35.89</v>
      </c>
      <c r="G15" s="139">
        <v>77</v>
      </c>
      <c r="H15" s="140">
        <v>90.27</v>
      </c>
      <c r="I15" s="15"/>
    </row>
    <row r="16" spans="1:9">
      <c r="A16" s="55" t="s">
        <v>289</v>
      </c>
      <c r="B16" s="138" t="s">
        <v>902</v>
      </c>
      <c r="C16" s="179">
        <v>54.52</v>
      </c>
      <c r="D16" s="179">
        <v>65.14</v>
      </c>
      <c r="E16" s="139">
        <v>72.39</v>
      </c>
      <c r="F16" s="139">
        <v>97.28</v>
      </c>
      <c r="G16" s="139">
        <v>61.67</v>
      </c>
      <c r="H16" s="139">
        <v>79.5</v>
      </c>
      <c r="I16" s="15"/>
    </row>
    <row r="17" spans="1:9" ht="25.5" customHeight="1" thickBot="1">
      <c r="A17" s="105" t="s">
        <v>290</v>
      </c>
      <c r="B17" s="169" t="s">
        <v>902</v>
      </c>
      <c r="C17" s="183">
        <v>50.59</v>
      </c>
      <c r="D17" s="183">
        <v>61.28</v>
      </c>
      <c r="E17" s="184">
        <v>69.28</v>
      </c>
      <c r="F17" s="184">
        <v>94.82</v>
      </c>
      <c r="G17" s="184">
        <v>61.18</v>
      </c>
      <c r="H17" s="185">
        <v>78.28</v>
      </c>
      <c r="I17" s="15"/>
    </row>
    <row r="18" spans="1:9" ht="13.5" customHeight="1" thickTop="1">
      <c r="A18" s="489" t="s">
        <v>278</v>
      </c>
      <c r="B18" s="489"/>
      <c r="C18" s="489"/>
      <c r="D18" s="489"/>
      <c r="E18" s="489"/>
      <c r="F18" s="489"/>
      <c r="G18" s="489"/>
      <c r="H18" s="489"/>
    </row>
    <row r="19" spans="1:9">
      <c r="A19" s="492" t="s">
        <v>387</v>
      </c>
      <c r="B19" s="492"/>
      <c r="C19" s="492"/>
      <c r="D19" s="492"/>
      <c r="E19" s="492"/>
      <c r="F19" s="492"/>
      <c r="G19" s="492"/>
      <c r="H19" s="492"/>
    </row>
    <row r="20" spans="1:9">
      <c r="A20" s="186"/>
      <c r="B20" s="29"/>
      <c r="C20" s="29"/>
      <c r="D20" s="29"/>
      <c r="E20" s="29"/>
      <c r="F20" s="29"/>
      <c r="G20" s="29"/>
      <c r="H20" s="29"/>
    </row>
    <row r="21" spans="1:9">
      <c r="A21" s="28"/>
      <c r="B21" s="29"/>
      <c r="C21" s="29"/>
      <c r="D21" s="29"/>
      <c r="E21" s="29"/>
      <c r="F21" s="29"/>
      <c r="G21" s="29"/>
      <c r="H21" s="29"/>
    </row>
    <row r="22" spans="1:9">
      <c r="A22" s="29"/>
      <c r="B22" s="29"/>
      <c r="C22" s="29"/>
      <c r="D22" s="29"/>
      <c r="E22" s="29"/>
      <c r="F22" s="29"/>
      <c r="G22" s="29"/>
      <c r="H22" s="29"/>
    </row>
    <row r="23" spans="1:9" ht="12.75" customHeight="1">
      <c r="A23" s="29"/>
      <c r="B23" s="29"/>
      <c r="C23" s="29"/>
      <c r="D23" s="29"/>
      <c r="E23" s="29"/>
      <c r="F23" s="29"/>
      <c r="G23" s="29"/>
      <c r="H23" s="29"/>
    </row>
    <row r="24" spans="1:9">
      <c r="A24" s="29"/>
      <c r="B24" s="29"/>
      <c r="C24" s="29"/>
      <c r="D24" s="29"/>
      <c r="E24" s="29"/>
      <c r="F24" s="29"/>
      <c r="G24" s="29"/>
      <c r="H24" s="29"/>
    </row>
    <row r="25" spans="1:9">
      <c r="A25" s="29"/>
      <c r="B25" s="29"/>
      <c r="C25" s="29"/>
      <c r="D25" s="29"/>
      <c r="E25" s="29"/>
      <c r="F25" s="29"/>
      <c r="G25" s="29"/>
      <c r="H25" s="29"/>
    </row>
    <row r="26" spans="1:9">
      <c r="A26" s="29"/>
      <c r="B26" s="29"/>
      <c r="C26" s="29"/>
      <c r="D26" s="29"/>
      <c r="E26" s="29"/>
      <c r="F26" s="29"/>
      <c r="G26" s="29"/>
      <c r="H26" s="29"/>
    </row>
    <row r="27" spans="1:9">
      <c r="A27" s="29"/>
      <c r="B27" s="29"/>
      <c r="C27" s="29"/>
      <c r="D27" s="29"/>
      <c r="E27" s="29"/>
      <c r="F27" s="29"/>
      <c r="G27" s="29"/>
      <c r="H27" s="29"/>
    </row>
    <row r="28" spans="1:9">
      <c r="A28" s="29"/>
      <c r="B28" s="29"/>
      <c r="C28" s="29"/>
      <c r="D28" s="29"/>
      <c r="E28" s="29"/>
      <c r="F28" s="29"/>
      <c r="G28" s="29"/>
      <c r="H28" s="29"/>
    </row>
    <row r="29" spans="1:9">
      <c r="A29" s="29"/>
      <c r="B29" s="29"/>
      <c r="C29" s="29"/>
      <c r="D29" s="29"/>
      <c r="E29" s="29"/>
      <c r="F29" s="29"/>
      <c r="G29" s="29"/>
      <c r="H29" s="29"/>
    </row>
    <row r="30" spans="1:9">
      <c r="A30" s="29"/>
      <c r="B30" s="29"/>
      <c r="C30" s="29"/>
      <c r="D30" s="29"/>
      <c r="E30" s="29"/>
      <c r="F30" s="29"/>
      <c r="G30" s="29"/>
      <c r="H30" s="29"/>
    </row>
    <row r="31" spans="1:9">
      <c r="A31" s="29"/>
      <c r="B31" s="29"/>
      <c r="C31" s="29"/>
      <c r="D31" s="29"/>
      <c r="E31" s="29"/>
      <c r="F31" s="29"/>
      <c r="G31" s="29"/>
      <c r="H31" s="29"/>
    </row>
    <row r="32" spans="1:9">
      <c r="A32" s="29"/>
      <c r="B32" s="29"/>
      <c r="C32" s="29"/>
      <c r="D32" s="29"/>
      <c r="E32" s="29"/>
      <c r="F32" s="29"/>
      <c r="G32" s="29"/>
      <c r="H32" s="29"/>
    </row>
    <row r="33" spans="1:8">
      <c r="A33" s="29"/>
      <c r="B33" s="29"/>
      <c r="C33" s="29"/>
      <c r="D33" s="29"/>
      <c r="E33" s="29"/>
      <c r="F33" s="29"/>
      <c r="G33" s="29"/>
      <c r="H33" s="29"/>
    </row>
    <row r="34" spans="1:8">
      <c r="A34" s="29"/>
      <c r="B34" s="29"/>
      <c r="C34" s="29"/>
      <c r="D34" s="29"/>
      <c r="E34" s="29"/>
      <c r="F34" s="29"/>
      <c r="G34" s="29"/>
      <c r="H34" s="29"/>
    </row>
    <row r="35" spans="1:8">
      <c r="A35" s="29"/>
      <c r="B35" s="29"/>
      <c r="C35" s="29"/>
      <c r="D35" s="29"/>
      <c r="E35" s="29"/>
      <c r="F35" s="29"/>
      <c r="G35" s="29"/>
      <c r="H35" s="29"/>
    </row>
    <row r="36" spans="1:8">
      <c r="A36" s="29"/>
      <c r="B36" s="29"/>
      <c r="C36" s="29"/>
      <c r="D36" s="29"/>
      <c r="E36" s="29"/>
      <c r="F36" s="29"/>
      <c r="G36" s="29"/>
      <c r="H36" s="29"/>
    </row>
    <row r="37" spans="1:8">
      <c r="A37" s="29"/>
      <c r="B37" s="29"/>
      <c r="C37" s="29"/>
      <c r="D37" s="29"/>
      <c r="E37" s="29"/>
      <c r="F37" s="29"/>
      <c r="G37" s="29"/>
      <c r="H37" s="29"/>
    </row>
    <row r="38" spans="1:8">
      <c r="A38" s="29"/>
      <c r="B38" s="29"/>
      <c r="C38" s="29"/>
      <c r="D38" s="29"/>
      <c r="E38" s="29"/>
      <c r="F38" s="29"/>
      <c r="G38" s="29"/>
      <c r="H38" s="29"/>
    </row>
    <row r="39" spans="1:8">
      <c r="A39" s="487" t="s">
        <v>776</v>
      </c>
      <c r="B39" s="487"/>
      <c r="C39" s="487"/>
      <c r="D39" s="487"/>
      <c r="E39" s="487"/>
      <c r="F39" s="487"/>
      <c r="G39" s="487"/>
    </row>
  </sheetData>
  <sheetProtection password="CAF1" sheet="1" formatCells="0" formatColumns="0" formatRows="0" insertColumns="0" insertRows="0" insertHyperlinks="0" deleteColumns="0" deleteRows="0" sort="0" autoFilter="0" pivotTables="0"/>
  <mergeCells count="6">
    <mergeCell ref="A39:G39"/>
    <mergeCell ref="A2:A3"/>
    <mergeCell ref="B2:B3"/>
    <mergeCell ref="C2:H2"/>
    <mergeCell ref="A18:H18"/>
    <mergeCell ref="A19:H19"/>
  </mergeCells>
  <phoneticPr fontId="8" type="noConversion"/>
  <hyperlinks>
    <hyperlink ref="A39:G39" location="Титул!A1" display="Вернуться к Содержанию"/>
  </hyperlinks>
  <pageMargins left="0.25" right="0.25" top="0.75" bottom="0.75" header="0.3" footer="0.3"/>
  <pageSetup paperSize="9" firstPageNumber="4" orientation="portrait" useFirstPageNumber="1" r:id="rId1"/>
  <headerFooter alignWithMargins="0">
    <oddHeader>&amp;L&amp;"Times New Roman,полужирный"Газпром в цифрах 2006-2010 гг.&amp;R&amp;"Times New Roman,полужирный"Справочник</oddHeader>
    <oddFooter>&amp;C&amp;P</oddFooter>
  </headerFooter>
  <drawing r:id="rId2"/>
</worksheet>
</file>

<file path=xl/worksheets/sheet5.xml><?xml version="1.0" encoding="utf-8"?>
<worksheet xmlns="http://schemas.openxmlformats.org/spreadsheetml/2006/main" xmlns:r="http://schemas.openxmlformats.org/officeDocument/2006/relationships">
  <sheetPr codeName="Лист5"/>
  <dimension ref="A1:I55"/>
  <sheetViews>
    <sheetView zoomScaleNormal="100" zoomScaleSheetLayoutView="100" workbookViewId="0"/>
  </sheetViews>
  <sheetFormatPr defaultColWidth="0" defaultRowHeight="13.2" zeroHeight="1" outlineLevelCol="1"/>
  <cols>
    <col min="1" max="1" width="50.5546875" style="3" customWidth="1"/>
    <col min="2" max="2" width="12.6640625" style="2" customWidth="1"/>
    <col min="3" max="3" width="7.44140625" style="2" hidden="1" customWidth="1" outlineLevel="1"/>
    <col min="4" max="4" width="7.44140625" style="2" customWidth="1" collapsed="1"/>
    <col min="5" max="7" width="7.44140625" style="2" customWidth="1"/>
    <col min="8" max="8" width="7.5546875" style="2" customWidth="1"/>
    <col min="9" max="16384" width="0" style="2" hidden="1"/>
  </cols>
  <sheetData>
    <row r="1" spans="1:8" ht="15.6">
      <c r="A1" s="130" t="s">
        <v>801</v>
      </c>
      <c r="B1" s="28"/>
      <c r="C1" s="28"/>
      <c r="D1" s="28"/>
      <c r="E1" s="28"/>
      <c r="F1" s="28"/>
      <c r="G1" s="28"/>
      <c r="H1" s="28"/>
    </row>
    <row r="2" spans="1:8" ht="12.75" customHeight="1">
      <c r="A2" s="495"/>
      <c r="B2" s="488" t="s">
        <v>790</v>
      </c>
      <c r="C2" s="491" t="s">
        <v>350</v>
      </c>
      <c r="D2" s="491"/>
      <c r="E2" s="491"/>
      <c r="F2" s="491"/>
      <c r="G2" s="491"/>
      <c r="H2" s="491"/>
    </row>
    <row r="3" spans="1:8">
      <c r="A3" s="495"/>
      <c r="B3" s="488"/>
      <c r="C3" s="137">
        <v>2005</v>
      </c>
      <c r="D3" s="137">
        <v>2006</v>
      </c>
      <c r="E3" s="137">
        <v>2007</v>
      </c>
      <c r="F3" s="137">
        <v>2008</v>
      </c>
      <c r="G3" s="137">
        <v>2009</v>
      </c>
      <c r="H3" s="137">
        <v>2010</v>
      </c>
    </row>
    <row r="4" spans="1:8">
      <c r="A4" s="55" t="s">
        <v>259</v>
      </c>
      <c r="B4" s="138"/>
      <c r="C4" s="138"/>
      <c r="D4" s="138"/>
      <c r="E4" s="138"/>
      <c r="F4" s="138"/>
      <c r="G4" s="138"/>
      <c r="H4" s="138"/>
    </row>
    <row r="5" spans="1:8">
      <c r="A5" s="59" t="s">
        <v>113</v>
      </c>
      <c r="B5" s="138" t="s">
        <v>114</v>
      </c>
      <c r="C5" s="139">
        <v>194.3</v>
      </c>
      <c r="D5" s="139">
        <v>302.89</v>
      </c>
      <c r="E5" s="139">
        <v>342.88</v>
      </c>
      <c r="F5" s="139">
        <v>108.6</v>
      </c>
      <c r="G5" s="139">
        <v>183.21</v>
      </c>
      <c r="H5" s="140">
        <v>193.62</v>
      </c>
    </row>
    <row r="6" spans="1:8">
      <c r="A6" s="59" t="s">
        <v>356</v>
      </c>
      <c r="B6" s="138" t="s">
        <v>114</v>
      </c>
      <c r="C6" s="139">
        <v>69.599999999999994</v>
      </c>
      <c r="D6" s="139">
        <v>216</v>
      </c>
      <c r="E6" s="139">
        <v>227.99</v>
      </c>
      <c r="F6" s="139">
        <v>86.6</v>
      </c>
      <c r="G6" s="139">
        <v>101.91</v>
      </c>
      <c r="H6" s="140">
        <v>142.84</v>
      </c>
    </row>
    <row r="7" spans="1:8" ht="13.8" thickBot="1">
      <c r="A7" s="141" t="s">
        <v>201</v>
      </c>
      <c r="B7" s="142" t="s">
        <v>114</v>
      </c>
      <c r="C7" s="143">
        <v>195</v>
      </c>
      <c r="D7" s="143">
        <v>350.25</v>
      </c>
      <c r="E7" s="143">
        <v>357.2</v>
      </c>
      <c r="F7" s="143">
        <v>367.4</v>
      </c>
      <c r="G7" s="143">
        <v>200.16</v>
      </c>
      <c r="H7" s="144">
        <v>197.34</v>
      </c>
    </row>
    <row r="8" spans="1:8">
      <c r="A8" s="55" t="s">
        <v>202</v>
      </c>
      <c r="B8" s="138"/>
      <c r="C8" s="145"/>
      <c r="D8" s="145"/>
      <c r="E8" s="145"/>
      <c r="F8" s="145"/>
      <c r="G8" s="145"/>
      <c r="H8" s="149"/>
    </row>
    <row r="9" spans="1:8">
      <c r="A9" s="59" t="s">
        <v>113</v>
      </c>
      <c r="B9" s="150" t="s">
        <v>885</v>
      </c>
      <c r="C9" s="139">
        <v>28.68</v>
      </c>
      <c r="D9" s="139">
        <v>46</v>
      </c>
      <c r="E9" s="139">
        <v>56.7</v>
      </c>
      <c r="F9" s="139">
        <v>14.25</v>
      </c>
      <c r="G9" s="139">
        <v>25.5</v>
      </c>
      <c r="H9" s="140">
        <v>25.25</v>
      </c>
    </row>
    <row r="10" spans="1:8">
      <c r="A10" s="59" t="s">
        <v>356</v>
      </c>
      <c r="B10" s="150" t="s">
        <v>885</v>
      </c>
      <c r="C10" s="139">
        <v>11.92</v>
      </c>
      <c r="D10" s="139">
        <v>29.48</v>
      </c>
      <c r="E10" s="139">
        <v>35.4</v>
      </c>
      <c r="F10" s="139">
        <v>11.91</v>
      </c>
      <c r="G10" s="139">
        <v>12.26</v>
      </c>
      <c r="H10" s="140">
        <v>18.059999999999999</v>
      </c>
    </row>
    <row r="11" spans="1:8" ht="13.8" thickBot="1">
      <c r="A11" s="151" t="s">
        <v>201</v>
      </c>
      <c r="B11" s="152" t="s">
        <v>885</v>
      </c>
      <c r="C11" s="143">
        <v>31.4</v>
      </c>
      <c r="D11" s="143">
        <v>52.64</v>
      </c>
      <c r="E11" s="143">
        <v>58.5</v>
      </c>
      <c r="F11" s="143">
        <v>62.5</v>
      </c>
      <c r="G11" s="143">
        <v>27.3</v>
      </c>
      <c r="H11" s="144">
        <v>26.64</v>
      </c>
    </row>
    <row r="12" spans="1:8">
      <c r="A12" s="153" t="s">
        <v>389</v>
      </c>
      <c r="B12" s="138" t="s">
        <v>291</v>
      </c>
      <c r="C12" s="154">
        <v>23674</v>
      </c>
      <c r="D12" s="154">
        <v>23674</v>
      </c>
      <c r="E12" s="154">
        <v>23674</v>
      </c>
      <c r="F12" s="154">
        <v>23674</v>
      </c>
      <c r="G12" s="154">
        <v>23674</v>
      </c>
      <c r="H12" s="155">
        <v>23674</v>
      </c>
    </row>
    <row r="13" spans="1:8">
      <c r="A13" s="114" t="s">
        <v>390</v>
      </c>
      <c r="B13" s="138" t="s">
        <v>291</v>
      </c>
      <c r="C13" s="154">
        <f>C12-C14</f>
        <v>23069</v>
      </c>
      <c r="D13" s="154">
        <f>D12-D14</f>
        <v>22988</v>
      </c>
      <c r="E13" s="154">
        <f>E12-E14</f>
        <v>23608</v>
      </c>
      <c r="F13" s="154">
        <f>F12-F14</f>
        <v>23644</v>
      </c>
      <c r="G13" s="154">
        <f>G12-G14</f>
        <v>22950</v>
      </c>
      <c r="H13" s="156">
        <v>22951</v>
      </c>
    </row>
    <row r="14" spans="1:8" ht="13.8" thickBot="1">
      <c r="A14" s="157" t="s">
        <v>391</v>
      </c>
      <c r="B14" s="152" t="s">
        <v>291</v>
      </c>
      <c r="C14" s="158">
        <v>605</v>
      </c>
      <c r="D14" s="158">
        <v>686</v>
      </c>
      <c r="E14" s="158">
        <v>66</v>
      </c>
      <c r="F14" s="158">
        <v>30</v>
      </c>
      <c r="G14" s="158">
        <v>724</v>
      </c>
      <c r="H14" s="144">
        <v>723</v>
      </c>
    </row>
    <row r="15" spans="1:8">
      <c r="A15" s="113" t="s">
        <v>883</v>
      </c>
      <c r="B15" s="138" t="s">
        <v>884</v>
      </c>
      <c r="C15" s="159">
        <v>160.30000000000001</v>
      </c>
      <c r="D15" s="159">
        <v>272</v>
      </c>
      <c r="E15" s="159">
        <v>330.9</v>
      </c>
      <c r="F15" s="159">
        <v>86</v>
      </c>
      <c r="G15" s="159">
        <v>144.5</v>
      </c>
      <c r="H15" s="149">
        <v>150.9</v>
      </c>
    </row>
    <row r="16" spans="1:8">
      <c r="A16" s="59" t="s">
        <v>494</v>
      </c>
      <c r="B16" s="138" t="s">
        <v>14</v>
      </c>
      <c r="C16" s="160">
        <v>1.4179999999999999</v>
      </c>
      <c r="D16" s="160">
        <f>ROUND((D15-C15)/C15,3)</f>
        <v>0.69699999999999995</v>
      </c>
      <c r="E16" s="160">
        <f>ROUND((E15-D15)/D15,3)</f>
        <v>0.217</v>
      </c>
      <c r="F16" s="160">
        <f>ROUND((F15-E15)/E15,3)</f>
        <v>-0.74</v>
      </c>
      <c r="G16" s="160">
        <f>ROUND((G15-F15)/F15,3)</f>
        <v>0.68</v>
      </c>
      <c r="H16" s="454">
        <v>4.3999999999999997E-2</v>
      </c>
    </row>
    <row r="17" spans="1:9">
      <c r="A17" s="55" t="s">
        <v>204</v>
      </c>
      <c r="B17" s="138" t="s">
        <v>205</v>
      </c>
      <c r="C17" s="154">
        <v>1011</v>
      </c>
      <c r="D17" s="154">
        <v>1693</v>
      </c>
      <c r="E17" s="154">
        <v>1889</v>
      </c>
      <c r="F17" s="145">
        <v>620</v>
      </c>
      <c r="G17" s="154">
        <v>1370</v>
      </c>
      <c r="H17" s="156">
        <v>1688</v>
      </c>
    </row>
    <row r="18" spans="1:9">
      <c r="A18" s="59" t="s">
        <v>293</v>
      </c>
      <c r="B18" s="138" t="s">
        <v>14</v>
      </c>
      <c r="C18" s="160">
        <v>0.83199999999999996</v>
      </c>
      <c r="D18" s="160">
        <f>ROUND((D17-C17)/C17,3)</f>
        <v>0.67500000000000004</v>
      </c>
      <c r="E18" s="160">
        <f>ROUND((E17-D17)/D17,3)</f>
        <v>0.11600000000000001</v>
      </c>
      <c r="F18" s="160">
        <f>ROUND((F17-E17)/E17,3)</f>
        <v>-0.67200000000000004</v>
      </c>
      <c r="G18" s="160">
        <f>ROUND((G17-F17)/F17,3)</f>
        <v>1.21</v>
      </c>
      <c r="H18" s="454">
        <v>0.23200000000000001</v>
      </c>
    </row>
    <row r="19" spans="1:9">
      <c r="A19" s="55" t="s">
        <v>206</v>
      </c>
      <c r="B19" s="138" t="s">
        <v>205</v>
      </c>
      <c r="C19" s="154">
        <v>1126</v>
      </c>
      <c r="D19" s="154">
        <v>1922</v>
      </c>
      <c r="E19" s="154">
        <v>2291</v>
      </c>
      <c r="F19" s="154">
        <v>632</v>
      </c>
      <c r="G19" s="154">
        <v>1445</v>
      </c>
      <c r="H19" s="156">
        <v>1770</v>
      </c>
    </row>
    <row r="20" spans="1:9" ht="13.8" thickBot="1">
      <c r="A20" s="141" t="s">
        <v>491</v>
      </c>
      <c r="B20" s="152" t="s">
        <v>14</v>
      </c>
      <c r="C20" s="161">
        <v>0.85799999999999998</v>
      </c>
      <c r="D20" s="161">
        <f>ROUND((D19-C19)/C19,3)</f>
        <v>0.70699999999999996</v>
      </c>
      <c r="E20" s="161">
        <f>ROUND((E19-D19)/D19,3)</f>
        <v>0.192</v>
      </c>
      <c r="F20" s="161">
        <f>ROUND((F19-E19)/E19,3)</f>
        <v>-0.72399999999999998</v>
      </c>
      <c r="G20" s="161">
        <f>ROUND((G19-F19)/F19,3)</f>
        <v>1.286</v>
      </c>
      <c r="H20" s="455">
        <v>0.22500000000000001</v>
      </c>
    </row>
    <row r="21" spans="1:9">
      <c r="A21" s="55" t="s">
        <v>882</v>
      </c>
      <c r="B21" s="138" t="s">
        <v>492</v>
      </c>
      <c r="C21" s="145">
        <v>20.8</v>
      </c>
      <c r="D21" s="145">
        <v>49.2</v>
      </c>
      <c r="E21" s="145">
        <v>47.8</v>
      </c>
      <c r="F21" s="145">
        <v>67.2</v>
      </c>
      <c r="G21" s="145">
        <v>85.2</v>
      </c>
      <c r="H21" s="149">
        <v>56.4</v>
      </c>
    </row>
    <row r="22" spans="1:9" ht="13.8" thickBot="1">
      <c r="A22" s="61" t="s">
        <v>207</v>
      </c>
      <c r="B22" s="152" t="s">
        <v>493</v>
      </c>
      <c r="C22" s="61">
        <v>1.7</v>
      </c>
      <c r="D22" s="61">
        <v>4.4000000000000004</v>
      </c>
      <c r="E22" s="61">
        <v>7.2</v>
      </c>
      <c r="F22" s="61">
        <v>16.899999999999999</v>
      </c>
      <c r="G22" s="61">
        <v>12.6</v>
      </c>
      <c r="H22" s="144">
        <v>13.7</v>
      </c>
    </row>
    <row r="23" spans="1:9" ht="13.8" thickBot="1">
      <c r="A23" s="61" t="s">
        <v>161</v>
      </c>
      <c r="B23" s="152" t="s">
        <v>114</v>
      </c>
      <c r="C23" s="162">
        <v>1.5</v>
      </c>
      <c r="D23" s="162">
        <v>2.54</v>
      </c>
      <c r="E23" s="162">
        <v>2.66</v>
      </c>
      <c r="F23" s="162">
        <v>0.36</v>
      </c>
      <c r="G23" s="162">
        <v>2.39</v>
      </c>
      <c r="H23" s="149">
        <v>3.85</v>
      </c>
    </row>
    <row r="24" spans="1:9" ht="12.75" customHeight="1">
      <c r="A24" s="64" t="s">
        <v>208</v>
      </c>
      <c r="B24" s="163"/>
      <c r="C24" s="145"/>
      <c r="D24" s="145"/>
      <c r="E24" s="145"/>
      <c r="F24" s="145"/>
      <c r="G24" s="145"/>
      <c r="H24" s="164"/>
    </row>
    <row r="25" spans="1:9" ht="12.75" customHeight="1">
      <c r="A25" s="151" t="s">
        <v>388</v>
      </c>
      <c r="B25" s="163" t="s">
        <v>14</v>
      </c>
      <c r="C25" s="165">
        <v>0.50002000000000002</v>
      </c>
      <c r="D25" s="165">
        <v>0.50002000000000002</v>
      </c>
      <c r="E25" s="165">
        <v>0.50002000000000002</v>
      </c>
      <c r="F25" s="165">
        <v>0.50002000000000002</v>
      </c>
      <c r="G25" s="165">
        <v>0.50002000000000002</v>
      </c>
      <c r="H25" s="165">
        <v>0.50002000000000002</v>
      </c>
    </row>
    <row r="26" spans="1:9" ht="12.75" customHeight="1">
      <c r="A26" s="166" t="s">
        <v>645</v>
      </c>
      <c r="B26" s="163"/>
      <c r="C26" s="165"/>
      <c r="D26" s="165"/>
      <c r="E26" s="165"/>
      <c r="F26" s="165"/>
      <c r="G26" s="165"/>
      <c r="H26" s="165"/>
    </row>
    <row r="27" spans="1:9">
      <c r="A27" s="167" t="s">
        <v>750</v>
      </c>
      <c r="B27" s="138" t="s">
        <v>14</v>
      </c>
      <c r="C27" s="165">
        <v>0.38373000000000002</v>
      </c>
      <c r="D27" s="165">
        <v>0.38373000000000002</v>
      </c>
      <c r="E27" s="165">
        <v>0.38373000000000002</v>
      </c>
      <c r="F27" s="165">
        <v>0.38373000000000002</v>
      </c>
      <c r="G27" s="165">
        <v>0.38373000000000002</v>
      </c>
      <c r="H27" s="453">
        <v>0.38373000000000002</v>
      </c>
    </row>
    <row r="28" spans="1:9">
      <c r="A28" s="168" t="s">
        <v>392</v>
      </c>
      <c r="B28" s="138" t="s">
        <v>14</v>
      </c>
      <c r="C28" s="165">
        <v>0.1074</v>
      </c>
      <c r="D28" s="165">
        <v>0.1074</v>
      </c>
      <c r="E28" s="165">
        <v>0.1074</v>
      </c>
      <c r="F28" s="165">
        <v>0.1074</v>
      </c>
      <c r="G28" s="165">
        <v>0.1074</v>
      </c>
      <c r="H28" s="453">
        <v>0.1074</v>
      </c>
      <c r="I28" s="16"/>
    </row>
    <row r="29" spans="1:9">
      <c r="A29" s="168" t="s">
        <v>393</v>
      </c>
      <c r="B29" s="138" t="s">
        <v>14</v>
      </c>
      <c r="C29" s="165">
        <v>8.8900000000000003E-3</v>
      </c>
      <c r="D29" s="165">
        <v>8.8900000000000003E-3</v>
      </c>
      <c r="E29" s="165">
        <v>8.8900000000000003E-3</v>
      </c>
      <c r="F29" s="165">
        <v>8.8900000000000003E-3</v>
      </c>
      <c r="G29" s="165">
        <v>8.8900000000000003E-3</v>
      </c>
      <c r="H29" s="453">
        <v>8.8900000000000003E-3</v>
      </c>
    </row>
    <row r="30" spans="1:9">
      <c r="A30" s="59" t="s">
        <v>886</v>
      </c>
      <c r="B30" s="138" t="s">
        <v>14</v>
      </c>
      <c r="C30" s="165">
        <v>4.4220000000000002E-2</v>
      </c>
      <c r="D30" s="165">
        <v>0.13200000000000001</v>
      </c>
      <c r="E30" s="165">
        <v>0.2102</v>
      </c>
      <c r="F30" s="165">
        <v>0.2215</v>
      </c>
      <c r="G30" s="165">
        <v>0.24349999999999999</v>
      </c>
      <c r="H30" s="453">
        <v>0.2757</v>
      </c>
    </row>
    <row r="31" spans="1:9">
      <c r="A31" s="59" t="s">
        <v>209</v>
      </c>
      <c r="B31" s="138" t="s">
        <v>14</v>
      </c>
      <c r="C31" s="165">
        <v>0.45576</v>
      </c>
      <c r="D31" s="165">
        <v>0.36797999999999997</v>
      </c>
      <c r="E31" s="165">
        <v>0.28977999999999998</v>
      </c>
      <c r="F31" s="165">
        <v>0.27848000000000001</v>
      </c>
      <c r="G31" s="165">
        <v>0.25647999999999999</v>
      </c>
      <c r="H31" s="453">
        <v>0.22428000000000001</v>
      </c>
    </row>
    <row r="32" spans="1:9" ht="13.8" thickBot="1">
      <c r="A32" s="105" t="s">
        <v>580</v>
      </c>
      <c r="B32" s="169" t="s">
        <v>14</v>
      </c>
      <c r="C32" s="170">
        <f>SUM(C27:C31)</f>
        <v>1</v>
      </c>
      <c r="D32" s="170">
        <f>SUM(D27:D31)</f>
        <v>1</v>
      </c>
      <c r="E32" s="170">
        <f>SUM(E27:E31)</f>
        <v>1</v>
      </c>
      <c r="F32" s="170">
        <f>SUM(F27:F31)</f>
        <v>1</v>
      </c>
      <c r="G32" s="170">
        <f>SUM(G27:G31)</f>
        <v>1</v>
      </c>
      <c r="H32" s="171">
        <v>1</v>
      </c>
    </row>
    <row r="33" spans="1:8" ht="13.8" thickTop="1">
      <c r="A33" s="496" t="s">
        <v>159</v>
      </c>
      <c r="B33" s="496"/>
      <c r="C33" s="496"/>
      <c r="D33" s="496"/>
      <c r="E33" s="496"/>
      <c r="F33" s="496"/>
      <c r="G33" s="496"/>
      <c r="H33" s="496"/>
    </row>
    <row r="34" spans="1:8">
      <c r="A34" s="494" t="s">
        <v>160</v>
      </c>
      <c r="B34" s="494"/>
      <c r="C34" s="494"/>
      <c r="D34" s="494"/>
      <c r="E34" s="494"/>
      <c r="F34" s="494"/>
      <c r="G34" s="494"/>
      <c r="H34" s="494"/>
    </row>
    <row r="35" spans="1:8" ht="11.25" customHeight="1">
      <c r="A35" s="493"/>
      <c r="B35" s="493"/>
      <c r="C35" s="493"/>
      <c r="D35" s="493"/>
      <c r="E35" s="493"/>
      <c r="F35" s="493"/>
      <c r="G35" s="493"/>
      <c r="H35" s="28"/>
    </row>
    <row r="36" spans="1:8">
      <c r="A36" s="173"/>
      <c r="B36" s="28"/>
      <c r="C36" s="28"/>
      <c r="D36" s="28"/>
      <c r="E36" s="28"/>
      <c r="F36" s="28"/>
      <c r="G36" s="28"/>
      <c r="H36" s="28"/>
    </row>
    <row r="37" spans="1:8">
      <c r="A37" s="173"/>
      <c r="B37" s="28"/>
      <c r="C37" s="28"/>
      <c r="D37" s="28"/>
      <c r="E37" s="28"/>
      <c r="F37" s="28"/>
      <c r="G37" s="28"/>
      <c r="H37" s="28"/>
    </row>
    <row r="38" spans="1:8">
      <c r="A38" s="173"/>
      <c r="B38" s="28"/>
      <c r="C38" s="28"/>
      <c r="D38" s="28"/>
      <c r="E38" s="28"/>
      <c r="F38" s="28"/>
      <c r="G38" s="28"/>
      <c r="H38" s="28"/>
    </row>
    <row r="39" spans="1:8">
      <c r="A39" s="173"/>
      <c r="B39" s="28"/>
      <c r="C39" s="28"/>
      <c r="D39" s="28"/>
      <c r="E39" s="28"/>
      <c r="F39" s="28"/>
      <c r="G39" s="28"/>
      <c r="H39" s="28"/>
    </row>
    <row r="40" spans="1:8">
      <c r="A40" s="173"/>
      <c r="B40" s="28"/>
      <c r="C40" s="28"/>
      <c r="D40" s="28"/>
      <c r="E40" s="28"/>
      <c r="F40" s="28"/>
      <c r="G40" s="28"/>
      <c r="H40" s="28"/>
    </row>
    <row r="41" spans="1:8">
      <c r="A41" s="173"/>
      <c r="B41" s="28"/>
      <c r="C41" s="28"/>
      <c r="D41" s="28"/>
      <c r="E41" s="28"/>
      <c r="F41" s="28"/>
      <c r="G41" s="28"/>
      <c r="H41" s="28"/>
    </row>
    <row r="42" spans="1:8">
      <c r="A42" s="173"/>
      <c r="B42" s="28"/>
      <c r="C42" s="28"/>
      <c r="D42" s="28"/>
      <c r="E42" s="28"/>
      <c r="F42" s="28"/>
      <c r="G42" s="28"/>
      <c r="H42" s="28"/>
    </row>
    <row r="43" spans="1:8">
      <c r="A43" s="173"/>
      <c r="B43" s="28"/>
      <c r="C43" s="28"/>
      <c r="D43" s="28"/>
      <c r="E43" s="28"/>
      <c r="F43" s="28"/>
      <c r="G43" s="28"/>
      <c r="H43" s="28"/>
    </row>
    <row r="44" spans="1:8">
      <c r="A44" s="173"/>
      <c r="B44" s="28"/>
      <c r="C44" s="28"/>
      <c r="D44" s="28"/>
      <c r="E44" s="28"/>
      <c r="F44" s="28"/>
      <c r="G44" s="28"/>
      <c r="H44" s="28"/>
    </row>
    <row r="45" spans="1:8">
      <c r="A45" s="173"/>
      <c r="B45" s="28"/>
      <c r="C45" s="28"/>
      <c r="D45" s="28"/>
      <c r="E45" s="28"/>
      <c r="F45" s="28"/>
      <c r="G45" s="28"/>
      <c r="H45" s="28"/>
    </row>
    <row r="46" spans="1:8">
      <c r="A46" s="173"/>
      <c r="B46" s="28"/>
      <c r="C46" s="28"/>
      <c r="D46" s="28"/>
      <c r="E46" s="28"/>
      <c r="F46" s="28"/>
      <c r="G46" s="28"/>
      <c r="H46" s="28"/>
    </row>
    <row r="47" spans="1:8">
      <c r="A47" s="173"/>
      <c r="B47" s="28"/>
      <c r="C47" s="28"/>
      <c r="D47" s="28"/>
      <c r="E47" s="28"/>
      <c r="F47" s="28"/>
      <c r="G47" s="28"/>
      <c r="H47" s="28"/>
    </row>
    <row r="48" spans="1:8">
      <c r="A48" s="173"/>
      <c r="B48" s="28"/>
      <c r="C48" s="28"/>
      <c r="D48" s="28"/>
      <c r="E48" s="28"/>
      <c r="F48" s="28"/>
      <c r="G48" s="28"/>
      <c r="H48" s="28"/>
    </row>
    <row r="49" spans="1:8">
      <c r="A49" s="173"/>
      <c r="B49" s="28"/>
      <c r="C49" s="28"/>
      <c r="D49" s="28"/>
      <c r="E49" s="28"/>
      <c r="F49" s="28"/>
      <c r="G49" s="28"/>
      <c r="H49" s="28"/>
    </row>
    <row r="50" spans="1:8">
      <c r="A50" s="173"/>
      <c r="B50" s="28"/>
      <c r="C50" s="28"/>
      <c r="D50" s="28"/>
      <c r="E50" s="28"/>
      <c r="F50" s="28"/>
      <c r="G50" s="28"/>
      <c r="H50" s="28"/>
    </row>
    <row r="51" spans="1:8">
      <c r="A51" s="173"/>
      <c r="B51" s="28"/>
      <c r="C51" s="28"/>
      <c r="D51" s="28"/>
      <c r="E51" s="28"/>
      <c r="F51" s="28"/>
      <c r="G51" s="28"/>
      <c r="H51" s="28"/>
    </row>
    <row r="52" spans="1:8">
      <c r="A52" s="173"/>
      <c r="B52" s="28"/>
      <c r="C52" s="28"/>
      <c r="D52" s="28"/>
      <c r="E52" s="28"/>
      <c r="F52" s="28"/>
      <c r="G52" s="28"/>
      <c r="H52" s="28"/>
    </row>
    <row r="53" spans="1:8" ht="36" customHeight="1">
      <c r="A53" s="490"/>
      <c r="B53" s="490"/>
      <c r="C53" s="490"/>
      <c r="D53" s="490"/>
      <c r="E53" s="490"/>
      <c r="F53" s="490"/>
      <c r="G53" s="490"/>
      <c r="H53" s="28"/>
    </row>
    <row r="54" spans="1:8">
      <c r="A54" s="173"/>
      <c r="B54" s="28"/>
      <c r="C54" s="28"/>
      <c r="D54" s="28"/>
      <c r="E54" s="28"/>
      <c r="F54" s="28"/>
      <c r="G54" s="28"/>
      <c r="H54" s="28"/>
    </row>
    <row r="55" spans="1:8">
      <c r="A55" s="487" t="s">
        <v>776</v>
      </c>
      <c r="B55" s="487"/>
      <c r="C55" s="487"/>
      <c r="D55" s="487"/>
      <c r="E55" s="487"/>
      <c r="F55" s="487"/>
      <c r="G55" s="487"/>
    </row>
  </sheetData>
  <sheetProtection password="CAF1" sheet="1" formatCells="0" formatColumns="0" formatRows="0" insertColumns="0" insertRows="0" insertHyperlinks="0" deleteColumns="0" deleteRows="0" sort="0" autoFilter="0" pivotTables="0"/>
  <mergeCells count="8">
    <mergeCell ref="A55:G55"/>
    <mergeCell ref="A35:G35"/>
    <mergeCell ref="A53:G53"/>
    <mergeCell ref="A34:H34"/>
    <mergeCell ref="A2:A3"/>
    <mergeCell ref="B2:B3"/>
    <mergeCell ref="C2:H2"/>
    <mergeCell ref="A33:H33"/>
  </mergeCells>
  <phoneticPr fontId="8" type="noConversion"/>
  <hyperlinks>
    <hyperlink ref="A55:G55" location="Титул!A1" display="Вернуться к Содержанию"/>
  </hyperlinks>
  <pageMargins left="0.25" right="0.25" top="0.75" bottom="0.75" header="0.3" footer="0.3"/>
  <pageSetup paperSize="9" firstPageNumber="5" orientation="portrait" useFirstPageNumber="1" r:id="rId1"/>
  <headerFooter alignWithMargins="0">
    <oddHeader>&amp;L&amp;"Times New Roman,полужирный"Газпром в цифрах 2006-2010 гг.&amp;R&amp;"Times New Roman,полужирный"Справочник</oddHeader>
    <oddFooter>&amp;C&amp;P</oddFooter>
  </headerFooter>
  <drawing r:id="rId2"/>
</worksheet>
</file>

<file path=xl/worksheets/sheet6.xml><?xml version="1.0" encoding="utf-8"?>
<worksheet xmlns="http://schemas.openxmlformats.org/spreadsheetml/2006/main" xmlns:r="http://schemas.openxmlformats.org/officeDocument/2006/relationships">
  <sheetPr codeName="Лист6"/>
  <dimension ref="A1:A24"/>
  <sheetViews>
    <sheetView zoomScaleNormal="100" zoomScaleSheetLayoutView="100" workbookViewId="0"/>
  </sheetViews>
  <sheetFormatPr defaultColWidth="0" defaultRowHeight="13.2" zeroHeight="1"/>
  <cols>
    <col min="1" max="1" width="101" style="28" customWidth="1"/>
    <col min="2" max="16384" width="0" style="2" hidden="1"/>
  </cols>
  <sheetData>
    <row r="1" spans="1:1" ht="15.6">
      <c r="A1" s="130" t="s">
        <v>1040</v>
      </c>
    </row>
    <row r="2" spans="1:1" ht="21.75" customHeight="1">
      <c r="A2" s="131" t="s">
        <v>485</v>
      </c>
    </row>
    <row r="3" spans="1:1" ht="67.5" customHeight="1">
      <c r="A3" s="132" t="s">
        <v>459</v>
      </c>
    </row>
    <row r="4" spans="1:1" ht="28.5" customHeight="1">
      <c r="A4" s="133" t="s">
        <v>486</v>
      </c>
    </row>
    <row r="5" spans="1:1" ht="24.75" customHeight="1">
      <c r="A5" s="131" t="s">
        <v>487</v>
      </c>
    </row>
    <row r="6" spans="1:1" ht="68.25" customHeight="1">
      <c r="A6" s="133" t="s">
        <v>406</v>
      </c>
    </row>
    <row r="7" spans="1:1" ht="44.25" customHeight="1">
      <c r="A7" s="133" t="s">
        <v>320</v>
      </c>
    </row>
    <row r="8" spans="1:1" ht="38.25" customHeight="1">
      <c r="A8" s="133" t="s">
        <v>564</v>
      </c>
    </row>
    <row r="9" spans="1:1" ht="56.25" customHeight="1">
      <c r="A9" s="133" t="s">
        <v>321</v>
      </c>
    </row>
    <row r="10" spans="1:1" ht="82.5" customHeight="1">
      <c r="A10" s="133" t="s">
        <v>370</v>
      </c>
    </row>
    <row r="11" spans="1:1" ht="24.75" customHeight="1">
      <c r="A11" s="131" t="s">
        <v>488</v>
      </c>
    </row>
    <row r="12" spans="1:1" ht="66.75" customHeight="1">
      <c r="A12" s="133" t="s">
        <v>489</v>
      </c>
    </row>
    <row r="13" spans="1:1" ht="27.75" customHeight="1">
      <c r="A13" s="133" t="s">
        <v>371</v>
      </c>
    </row>
    <row r="14" spans="1:1" ht="57" customHeight="1">
      <c r="A14" s="133" t="s">
        <v>490</v>
      </c>
    </row>
    <row r="15" spans="1:1" ht="66.75" customHeight="1">
      <c r="A15" s="133" t="s">
        <v>8</v>
      </c>
    </row>
    <row r="16" spans="1:1" ht="103.5" customHeight="1">
      <c r="A16" s="133" t="s">
        <v>909</v>
      </c>
    </row>
    <row r="17" spans="1:1" ht="41.25" customHeight="1">
      <c r="A17" s="131" t="s">
        <v>9</v>
      </c>
    </row>
    <row r="18" spans="1:1" ht="85.5" customHeight="1">
      <c r="A18" s="134" t="s">
        <v>417</v>
      </c>
    </row>
    <row r="19" spans="1:1" ht="110.25" customHeight="1">
      <c r="A19" s="134" t="s">
        <v>418</v>
      </c>
    </row>
    <row r="20" spans="1:1" ht="147.75" customHeight="1">
      <c r="A20" s="133" t="s">
        <v>453</v>
      </c>
    </row>
    <row r="21" spans="1:1"/>
    <row r="22" spans="1:1">
      <c r="A22" s="135" t="s">
        <v>776</v>
      </c>
    </row>
    <row r="23" spans="1:1" hidden="1"/>
    <row r="24" spans="1:1" ht="12.75" hidden="1" customHeight="1"/>
  </sheetData>
  <sheetProtection password="CAF1" sheet="1" objects="1" scenarios="1" formatCells="0" formatColumns="0" formatRows="0" insertColumns="0" insertRows="0" insertHyperlinks="0" deleteColumns="0" deleteRows="0" sort="0" autoFilter="0" pivotTables="0"/>
  <phoneticPr fontId="8" type="noConversion"/>
  <hyperlinks>
    <hyperlink ref="A22" location="Титул!A1" display="Вернуться к Содержанию"/>
  </hyperlinks>
  <pageMargins left="0.25" right="0.25" top="0.75" bottom="0.75" header="0.3" footer="0.3"/>
  <pageSetup paperSize="9" firstPageNumber="6" orientation="portrait" useFirstPageNumber="1" r:id="rId1"/>
  <headerFooter alignWithMargins="0">
    <oddHeader>&amp;L&amp;"Times New Roman,полужирный"Газпром в цифрах 2006-2010 гг.&amp;R&amp;"Times New Roman,полужирный"Справочник</oddHeader>
    <oddFooter>&amp;C&amp;P</oddFooter>
  </headerFooter>
  <rowBreaks count="1" manualBreakCount="1">
    <brk id="15" man="1"/>
  </rowBreaks>
  <drawing r:id="rId2"/>
</worksheet>
</file>

<file path=xl/worksheets/sheet7.xml><?xml version="1.0" encoding="utf-8"?>
<worksheet xmlns="http://schemas.openxmlformats.org/spreadsheetml/2006/main" xmlns:r="http://schemas.openxmlformats.org/officeDocument/2006/relationships">
  <sheetPr codeName="Лист7"/>
  <dimension ref="A1:BS37"/>
  <sheetViews>
    <sheetView zoomScaleNormal="100" zoomScaleSheetLayoutView="100" workbookViewId="0"/>
  </sheetViews>
  <sheetFormatPr defaultColWidth="0" defaultRowHeight="13.2" zeroHeight="1" outlineLevelCol="1"/>
  <cols>
    <col min="1" max="1" width="28.44140625" style="4" customWidth="1"/>
    <col min="2" max="2" width="7.5546875" style="4" hidden="1" customWidth="1" outlineLevel="1"/>
    <col min="3" max="3" width="7.5546875" style="4" customWidth="1" collapsed="1"/>
    <col min="4" max="7" width="7.5546875" style="4" customWidth="1"/>
    <col min="8" max="8" width="1.33203125" style="4" customWidth="1"/>
    <col min="9" max="9" width="7.5546875" style="4" hidden="1" customWidth="1" outlineLevel="1"/>
    <col min="10" max="10" width="7.5546875" style="4" customWidth="1" collapsed="1"/>
    <col min="11" max="14" width="7.5546875" style="4" customWidth="1"/>
    <col min="15" max="15" width="1.33203125" style="4" customWidth="1"/>
    <col min="16" max="16" width="7.6640625" style="4" hidden="1" customWidth="1" outlineLevel="1"/>
    <col min="17" max="17" width="7.6640625" style="4" customWidth="1" collapsed="1"/>
    <col min="18" max="21" width="7.6640625" style="4" customWidth="1"/>
    <col min="22" max="41" width="7.6640625" style="4" hidden="1" customWidth="1"/>
    <col min="42" max="71" width="7.5546875" style="4" hidden="1" customWidth="1"/>
    <col min="72" max="16384" width="0" style="4" hidden="1"/>
  </cols>
  <sheetData>
    <row r="1" spans="1:22" ht="15.6">
      <c r="A1" s="51" t="s">
        <v>408</v>
      </c>
      <c r="B1" s="28"/>
      <c r="C1" s="28"/>
      <c r="D1" s="28"/>
      <c r="E1" s="28"/>
      <c r="F1" s="28"/>
      <c r="G1" s="28"/>
      <c r="H1" s="28"/>
      <c r="I1" s="28"/>
      <c r="J1" s="28"/>
      <c r="K1" s="28"/>
      <c r="L1" s="28"/>
      <c r="M1" s="28"/>
      <c r="N1" s="28"/>
      <c r="O1" s="28"/>
      <c r="P1" s="28"/>
      <c r="Q1" s="28"/>
      <c r="R1" s="28"/>
      <c r="S1" s="28"/>
      <c r="T1" s="28"/>
      <c r="U1" s="28"/>
    </row>
    <row r="2" spans="1:22" ht="12.75" customHeight="1">
      <c r="A2" s="108"/>
      <c r="B2" s="488" t="s">
        <v>569</v>
      </c>
      <c r="C2" s="488"/>
      <c r="D2" s="488"/>
      <c r="E2" s="488"/>
      <c r="F2" s="488"/>
      <c r="G2" s="24"/>
      <c r="H2" s="115"/>
      <c r="I2" s="488" t="s">
        <v>569</v>
      </c>
      <c r="J2" s="488"/>
      <c r="K2" s="488"/>
      <c r="L2" s="488"/>
      <c r="M2" s="488"/>
      <c r="N2" s="24"/>
      <c r="O2" s="115"/>
      <c r="P2" s="488" t="s">
        <v>569</v>
      </c>
      <c r="Q2" s="488"/>
      <c r="R2" s="488"/>
      <c r="S2" s="488"/>
      <c r="T2" s="488"/>
      <c r="U2" s="24"/>
    </row>
    <row r="3" spans="1:22">
      <c r="A3" s="108"/>
      <c r="B3" s="32">
        <v>2005</v>
      </c>
      <c r="C3" s="32">
        <v>2006</v>
      </c>
      <c r="D3" s="32">
        <v>2007</v>
      </c>
      <c r="E3" s="32">
        <v>2008</v>
      </c>
      <c r="F3" s="32">
        <v>2009</v>
      </c>
      <c r="G3" s="32">
        <v>2010</v>
      </c>
      <c r="H3" s="116"/>
      <c r="I3" s="32">
        <v>2005</v>
      </c>
      <c r="J3" s="32">
        <v>2006</v>
      </c>
      <c r="K3" s="32">
        <v>2007</v>
      </c>
      <c r="L3" s="32">
        <v>2008</v>
      </c>
      <c r="M3" s="32">
        <v>2009</v>
      </c>
      <c r="N3" s="32">
        <v>2010</v>
      </c>
      <c r="O3" s="116"/>
      <c r="P3" s="32">
        <v>2005</v>
      </c>
      <c r="Q3" s="32">
        <v>2006</v>
      </c>
      <c r="R3" s="32">
        <v>2007</v>
      </c>
      <c r="S3" s="32">
        <v>2008</v>
      </c>
      <c r="T3" s="32">
        <v>2009</v>
      </c>
      <c r="U3" s="32">
        <v>2010</v>
      </c>
    </row>
    <row r="4" spans="1:22" ht="11.25" customHeight="1">
      <c r="A4" s="108"/>
      <c r="B4" s="488" t="s">
        <v>495</v>
      </c>
      <c r="C4" s="488"/>
      <c r="D4" s="488"/>
      <c r="E4" s="488"/>
      <c r="F4" s="488"/>
      <c r="G4" s="488"/>
      <c r="H4" s="117"/>
      <c r="I4" s="488" t="s">
        <v>566</v>
      </c>
      <c r="J4" s="488"/>
      <c r="K4" s="488"/>
      <c r="L4" s="488"/>
      <c r="M4" s="488"/>
      <c r="N4" s="488"/>
      <c r="O4" s="117"/>
      <c r="P4" s="488" t="s">
        <v>567</v>
      </c>
      <c r="Q4" s="488"/>
      <c r="R4" s="488"/>
      <c r="S4" s="488"/>
      <c r="T4" s="488"/>
      <c r="U4" s="488"/>
    </row>
    <row r="5" spans="1:22" ht="13.8">
      <c r="A5" s="55" t="s">
        <v>498</v>
      </c>
      <c r="B5" s="85">
        <v>29130.7</v>
      </c>
      <c r="C5" s="85">
        <v>29854.2</v>
      </c>
      <c r="D5" s="85">
        <v>29785.4</v>
      </c>
      <c r="E5" s="85">
        <v>33123.199999999997</v>
      </c>
      <c r="F5" s="85">
        <v>33578.400000000001</v>
      </c>
      <c r="G5" s="85">
        <v>33052.300000000003</v>
      </c>
      <c r="H5" s="104"/>
      <c r="I5" s="85">
        <f t="shared" ref="I5:N5" si="0">ROUND(B5*1.154,1)</f>
        <v>33616.800000000003</v>
      </c>
      <c r="J5" s="85">
        <f t="shared" si="0"/>
        <v>34451.699999999997</v>
      </c>
      <c r="K5" s="85">
        <f t="shared" si="0"/>
        <v>34372.400000000001</v>
      </c>
      <c r="L5" s="85">
        <f t="shared" si="0"/>
        <v>38224.199999999997</v>
      </c>
      <c r="M5" s="85">
        <f t="shared" si="0"/>
        <v>38749.5</v>
      </c>
      <c r="N5" s="85">
        <f t="shared" si="0"/>
        <v>38142.400000000001</v>
      </c>
      <c r="O5" s="75"/>
      <c r="P5" s="76">
        <f t="shared" ref="P5:U5" si="1">ROUND(B5*5.89,1)</f>
        <v>171579.8</v>
      </c>
      <c r="Q5" s="76">
        <f t="shared" si="1"/>
        <v>175841.2</v>
      </c>
      <c r="R5" s="76">
        <f t="shared" si="1"/>
        <v>175436</v>
      </c>
      <c r="S5" s="76">
        <f t="shared" si="1"/>
        <v>195095.6</v>
      </c>
      <c r="T5" s="76">
        <f t="shared" si="1"/>
        <v>197776.8</v>
      </c>
      <c r="U5" s="76">
        <f t="shared" si="1"/>
        <v>194678</v>
      </c>
    </row>
    <row r="6" spans="1:22" ht="13.8">
      <c r="A6" s="59" t="s">
        <v>499</v>
      </c>
      <c r="B6" s="118">
        <v>0.95</v>
      </c>
      <c r="C6" s="118">
        <v>0.93</v>
      </c>
      <c r="D6" s="118">
        <v>0.95</v>
      </c>
      <c r="E6" s="118">
        <v>0.88</v>
      </c>
      <c r="F6" s="118">
        <v>0.89</v>
      </c>
      <c r="G6" s="118">
        <v>0.93</v>
      </c>
      <c r="H6" s="104"/>
      <c r="I6" s="119">
        <f t="shared" ref="I6:N6" si="2">B6</f>
        <v>0.95</v>
      </c>
      <c r="J6" s="119">
        <f t="shared" si="2"/>
        <v>0.93</v>
      </c>
      <c r="K6" s="119">
        <f t="shared" si="2"/>
        <v>0.95</v>
      </c>
      <c r="L6" s="119">
        <f t="shared" si="2"/>
        <v>0.88</v>
      </c>
      <c r="M6" s="120">
        <f t="shared" si="2"/>
        <v>0.89</v>
      </c>
      <c r="N6" s="120">
        <f t="shared" si="2"/>
        <v>0.93</v>
      </c>
      <c r="O6" s="75"/>
      <c r="P6" s="121">
        <f t="shared" ref="P6:U6" si="3">B6</f>
        <v>0.95</v>
      </c>
      <c r="Q6" s="121">
        <f t="shared" si="3"/>
        <v>0.93</v>
      </c>
      <c r="R6" s="121">
        <f t="shared" si="3"/>
        <v>0.95</v>
      </c>
      <c r="S6" s="121">
        <f t="shared" si="3"/>
        <v>0.88</v>
      </c>
      <c r="T6" s="121">
        <f t="shared" si="3"/>
        <v>0.89</v>
      </c>
      <c r="U6" s="121">
        <f t="shared" si="3"/>
        <v>0.93</v>
      </c>
    </row>
    <row r="7" spans="1:22">
      <c r="A7" s="55" t="s">
        <v>570</v>
      </c>
      <c r="B7" s="85">
        <v>16052.1</v>
      </c>
      <c r="C7" s="85">
        <v>18187.599999999999</v>
      </c>
      <c r="D7" s="85">
        <v>18286.5</v>
      </c>
      <c r="E7" s="122">
        <v>18187.8</v>
      </c>
      <c r="F7" s="122">
        <v>18609.900000000001</v>
      </c>
      <c r="G7" s="122">
        <v>18991.3</v>
      </c>
      <c r="H7" s="104"/>
      <c r="I7" s="85">
        <f>ROUND(B7*1.154,1)</f>
        <v>18524.099999999999</v>
      </c>
      <c r="J7" s="85">
        <f>ROUND(C7*1.154,1)</f>
        <v>20988.5</v>
      </c>
      <c r="K7" s="85">
        <f>ROUND(D7*1.154,1)</f>
        <v>21102.6</v>
      </c>
      <c r="L7" s="85">
        <f>ROUND(E7*1.154,1)</f>
        <v>20988.7</v>
      </c>
      <c r="M7" s="85">
        <f>ROUND(F7*1.154,1)</f>
        <v>21475.8</v>
      </c>
      <c r="N7" s="85">
        <f>ROUNDDOWN(G7*1.154,1)</f>
        <v>21915.9</v>
      </c>
      <c r="O7" s="75"/>
      <c r="P7" s="76">
        <f t="shared" ref="P7:U9" si="4">ROUND(B7*5.89,1)</f>
        <v>94546.9</v>
      </c>
      <c r="Q7" s="76">
        <f t="shared" si="4"/>
        <v>107125</v>
      </c>
      <c r="R7" s="76">
        <f t="shared" si="4"/>
        <v>107707.5</v>
      </c>
      <c r="S7" s="76">
        <f t="shared" si="4"/>
        <v>107126.1</v>
      </c>
      <c r="T7" s="76">
        <f t="shared" si="4"/>
        <v>109612.3</v>
      </c>
      <c r="U7" s="76">
        <f t="shared" si="4"/>
        <v>111858.8</v>
      </c>
    </row>
    <row r="8" spans="1:22">
      <c r="A8" s="55" t="s">
        <v>571</v>
      </c>
      <c r="B8" s="85">
        <v>4757.2</v>
      </c>
      <c r="C8" s="85">
        <v>2580</v>
      </c>
      <c r="D8" s="85">
        <v>2551.5</v>
      </c>
      <c r="E8" s="122">
        <v>3088.2</v>
      </c>
      <c r="F8" s="122">
        <v>3338.1</v>
      </c>
      <c r="G8" s="122">
        <v>3529</v>
      </c>
      <c r="H8" s="104"/>
      <c r="I8" s="85">
        <f>ROUND(B8*1.154,1)</f>
        <v>5489.8</v>
      </c>
      <c r="J8" s="85">
        <f>ROUND(C8*1.154,1)</f>
        <v>2977.3</v>
      </c>
      <c r="K8" s="85">
        <f>ROUNDUP(D8*1.154,1)</f>
        <v>2944.5</v>
      </c>
      <c r="L8" s="85">
        <f t="shared" ref="L8:N9" si="5">ROUND(E8*1.154,1)</f>
        <v>3563.8</v>
      </c>
      <c r="M8" s="85">
        <f t="shared" si="5"/>
        <v>3852.2</v>
      </c>
      <c r="N8" s="85">
        <f t="shared" si="5"/>
        <v>4072.5</v>
      </c>
      <c r="O8" s="75"/>
      <c r="P8" s="76">
        <f t="shared" si="4"/>
        <v>28019.9</v>
      </c>
      <c r="Q8" s="76">
        <f t="shared" si="4"/>
        <v>15196.2</v>
      </c>
      <c r="R8" s="76">
        <f t="shared" si="4"/>
        <v>15028.3</v>
      </c>
      <c r="S8" s="76">
        <f t="shared" si="4"/>
        <v>18189.5</v>
      </c>
      <c r="T8" s="76">
        <f t="shared" si="4"/>
        <v>19661.400000000001</v>
      </c>
      <c r="U8" s="76">
        <f t="shared" si="4"/>
        <v>20785.8</v>
      </c>
    </row>
    <row r="9" spans="1:22">
      <c r="A9" s="55" t="s">
        <v>572</v>
      </c>
      <c r="B9" s="85">
        <v>20809.3</v>
      </c>
      <c r="C9" s="85">
        <v>20767.599999999999</v>
      </c>
      <c r="D9" s="85">
        <v>20838</v>
      </c>
      <c r="E9" s="122">
        <v>21276</v>
      </c>
      <c r="F9" s="122">
        <v>21948</v>
      </c>
      <c r="G9" s="122">
        <v>22520.3</v>
      </c>
      <c r="H9" s="104"/>
      <c r="I9" s="85">
        <f>ROUND(B9*1.154,1)</f>
        <v>24013.9</v>
      </c>
      <c r="J9" s="85">
        <f>ROUND(C9*1.154,1)</f>
        <v>23965.8</v>
      </c>
      <c r="K9" s="85">
        <f>ROUND(D9*1.154,1)</f>
        <v>24047.1</v>
      </c>
      <c r="L9" s="85">
        <f t="shared" si="5"/>
        <v>24552.5</v>
      </c>
      <c r="M9" s="85">
        <f t="shared" si="5"/>
        <v>25328</v>
      </c>
      <c r="N9" s="85">
        <f t="shared" si="5"/>
        <v>25988.400000000001</v>
      </c>
      <c r="O9" s="75"/>
      <c r="P9" s="76">
        <f t="shared" si="4"/>
        <v>122566.8</v>
      </c>
      <c r="Q9" s="76">
        <f t="shared" si="4"/>
        <v>122321.2</v>
      </c>
      <c r="R9" s="76">
        <f t="shared" si="4"/>
        <v>122735.8</v>
      </c>
      <c r="S9" s="76">
        <f t="shared" si="4"/>
        <v>125315.6</v>
      </c>
      <c r="T9" s="76">
        <f t="shared" si="4"/>
        <v>129273.7</v>
      </c>
      <c r="U9" s="76">
        <f t="shared" si="4"/>
        <v>132644.6</v>
      </c>
      <c r="V9" s="6"/>
    </row>
    <row r="10" spans="1:22" ht="12.75" customHeight="1">
      <c r="A10" s="109"/>
      <c r="B10" s="488" t="s">
        <v>573</v>
      </c>
      <c r="C10" s="488"/>
      <c r="D10" s="488"/>
      <c r="E10" s="488"/>
      <c r="F10" s="488"/>
      <c r="G10" s="488"/>
      <c r="H10" s="117"/>
      <c r="I10" s="488" t="s">
        <v>41</v>
      </c>
      <c r="J10" s="488"/>
      <c r="K10" s="488"/>
      <c r="L10" s="488"/>
      <c r="M10" s="488"/>
      <c r="N10" s="488"/>
      <c r="O10" s="117"/>
      <c r="P10" s="488" t="s">
        <v>40</v>
      </c>
      <c r="Q10" s="488"/>
      <c r="R10" s="488"/>
      <c r="S10" s="488"/>
      <c r="T10" s="488"/>
      <c r="U10" s="488"/>
    </row>
    <row r="11" spans="1:22" ht="13.8">
      <c r="A11" s="55" t="s">
        <v>498</v>
      </c>
      <c r="B11" s="85">
        <v>1216.3</v>
      </c>
      <c r="C11" s="85">
        <v>1217</v>
      </c>
      <c r="D11" s="85">
        <v>1212.5</v>
      </c>
      <c r="E11" s="85">
        <v>1287.0999999999999</v>
      </c>
      <c r="F11" s="85">
        <v>1325.1</v>
      </c>
      <c r="G11" s="85">
        <v>1284.8</v>
      </c>
      <c r="H11" s="85"/>
      <c r="I11" s="74">
        <f t="shared" ref="I11:N11" si="6">ROUND(B11*1.43,1)</f>
        <v>1739.3</v>
      </c>
      <c r="J11" s="74">
        <f t="shared" si="6"/>
        <v>1740.3</v>
      </c>
      <c r="K11" s="74">
        <f t="shared" si="6"/>
        <v>1733.9</v>
      </c>
      <c r="L11" s="74">
        <f t="shared" si="6"/>
        <v>1840.6</v>
      </c>
      <c r="M11" s="74">
        <f t="shared" si="6"/>
        <v>1894.9</v>
      </c>
      <c r="N11" s="74">
        <f t="shared" si="6"/>
        <v>1837.3</v>
      </c>
      <c r="O11" s="85"/>
      <c r="P11" s="74">
        <f t="shared" ref="P11:U11" si="7">ROUND(B11*8.18,1)</f>
        <v>9949.2999999999993</v>
      </c>
      <c r="Q11" s="74">
        <f t="shared" si="7"/>
        <v>9955.1</v>
      </c>
      <c r="R11" s="74">
        <f t="shared" si="7"/>
        <v>9918.2999999999993</v>
      </c>
      <c r="S11" s="74">
        <f t="shared" si="7"/>
        <v>10528.5</v>
      </c>
      <c r="T11" s="74">
        <f t="shared" si="7"/>
        <v>10839.3</v>
      </c>
      <c r="U11" s="74">
        <f t="shared" si="7"/>
        <v>10509.7</v>
      </c>
    </row>
    <row r="12" spans="1:22" ht="13.8">
      <c r="A12" s="59" t="s">
        <v>499</v>
      </c>
      <c r="B12" s="118">
        <v>0.9</v>
      </c>
      <c r="C12" s="118">
        <v>0.9</v>
      </c>
      <c r="D12" s="118">
        <v>0.9</v>
      </c>
      <c r="E12" s="118">
        <v>0.85</v>
      </c>
      <c r="F12" s="118">
        <v>0.82</v>
      </c>
      <c r="G12" s="118">
        <v>0.86</v>
      </c>
      <c r="H12" s="104"/>
      <c r="I12" s="119">
        <f t="shared" ref="I12:N12" si="8">B12</f>
        <v>0.9</v>
      </c>
      <c r="J12" s="119">
        <f t="shared" si="8"/>
        <v>0.9</v>
      </c>
      <c r="K12" s="119">
        <f t="shared" si="8"/>
        <v>0.9</v>
      </c>
      <c r="L12" s="119">
        <f t="shared" si="8"/>
        <v>0.85</v>
      </c>
      <c r="M12" s="120">
        <f t="shared" si="8"/>
        <v>0.82</v>
      </c>
      <c r="N12" s="120">
        <f t="shared" si="8"/>
        <v>0.86</v>
      </c>
      <c r="O12" s="104"/>
      <c r="P12" s="121">
        <f t="shared" ref="P12:U12" si="9">B12</f>
        <v>0.9</v>
      </c>
      <c r="Q12" s="121">
        <f t="shared" si="9"/>
        <v>0.9</v>
      </c>
      <c r="R12" s="121">
        <f t="shared" si="9"/>
        <v>0.9</v>
      </c>
      <c r="S12" s="121">
        <f t="shared" si="9"/>
        <v>0.85</v>
      </c>
      <c r="T12" s="121">
        <f t="shared" si="9"/>
        <v>0.82</v>
      </c>
      <c r="U12" s="121">
        <f t="shared" si="9"/>
        <v>0.86</v>
      </c>
    </row>
    <row r="13" spans="1:22">
      <c r="A13" s="55" t="s">
        <v>570</v>
      </c>
      <c r="B13" s="85">
        <v>507.9</v>
      </c>
      <c r="C13" s="85">
        <v>528.9</v>
      </c>
      <c r="D13" s="85">
        <v>568.9</v>
      </c>
      <c r="E13" s="85">
        <v>587.9</v>
      </c>
      <c r="F13" s="85">
        <v>586</v>
      </c>
      <c r="G13" s="85">
        <v>572.1</v>
      </c>
      <c r="H13" s="85"/>
      <c r="I13" s="74">
        <f t="shared" ref="I13:N13" si="10">ROUND(B13*1.43,1)</f>
        <v>726.3</v>
      </c>
      <c r="J13" s="74">
        <f t="shared" si="10"/>
        <v>756.3</v>
      </c>
      <c r="K13" s="74">
        <f t="shared" si="10"/>
        <v>813.5</v>
      </c>
      <c r="L13" s="74">
        <f t="shared" si="10"/>
        <v>840.7</v>
      </c>
      <c r="M13" s="74">
        <f t="shared" si="10"/>
        <v>838</v>
      </c>
      <c r="N13" s="74">
        <f t="shared" si="10"/>
        <v>818.1</v>
      </c>
      <c r="O13" s="85"/>
      <c r="P13" s="74">
        <f t="shared" ref="P13:U13" si="11">ROUND(B13*8.18,1)</f>
        <v>4154.6000000000004</v>
      </c>
      <c r="Q13" s="74">
        <f t="shared" si="11"/>
        <v>4326.3999999999996</v>
      </c>
      <c r="R13" s="74">
        <f t="shared" si="11"/>
        <v>4653.6000000000004</v>
      </c>
      <c r="S13" s="74">
        <f t="shared" si="11"/>
        <v>4809</v>
      </c>
      <c r="T13" s="74">
        <f t="shared" si="11"/>
        <v>4793.5</v>
      </c>
      <c r="U13" s="74">
        <f t="shared" si="11"/>
        <v>4679.8</v>
      </c>
    </row>
    <row r="14" spans="1:22">
      <c r="A14" s="55" t="s">
        <v>571</v>
      </c>
      <c r="B14" s="85">
        <v>184.7</v>
      </c>
      <c r="C14" s="85">
        <v>130.1</v>
      </c>
      <c r="D14" s="85">
        <v>117.2</v>
      </c>
      <c r="E14" s="85">
        <v>141.9</v>
      </c>
      <c r="F14" s="85">
        <v>141.19999999999999</v>
      </c>
      <c r="G14" s="85">
        <v>147.19999999999999</v>
      </c>
      <c r="H14" s="85"/>
      <c r="I14" s="74">
        <f>ROUND(B14*1.43,1)</f>
        <v>264.10000000000002</v>
      </c>
      <c r="J14" s="74">
        <f>ROUNDUP(C14*1.43,1)</f>
        <v>186.1</v>
      </c>
      <c r="K14" s="74">
        <f t="shared" ref="K14:N15" si="12">ROUND(D14*1.43,1)</f>
        <v>167.6</v>
      </c>
      <c r="L14" s="74">
        <f t="shared" si="12"/>
        <v>202.9</v>
      </c>
      <c r="M14" s="74">
        <f t="shared" si="12"/>
        <v>201.9</v>
      </c>
      <c r="N14" s="74">
        <f t="shared" si="12"/>
        <v>210.5</v>
      </c>
      <c r="O14" s="85"/>
      <c r="P14" s="74">
        <f>ROUNDUP(B14*8.18,1)</f>
        <v>1510.8999999999999</v>
      </c>
      <c r="Q14" s="74">
        <f>ROUND(C14*8.18,1)</f>
        <v>1064.2</v>
      </c>
      <c r="R14" s="74">
        <f>ROUND(D14*8.18,1)</f>
        <v>958.7</v>
      </c>
      <c r="S14" s="74">
        <f>ROUNDUP(E14*8.18,1)</f>
        <v>1160.8</v>
      </c>
      <c r="T14" s="74">
        <f>ROUND(F14*8.18,1)</f>
        <v>1155</v>
      </c>
      <c r="U14" s="74">
        <f>ROUND(G14*8.18,1)</f>
        <v>1204.0999999999999</v>
      </c>
    </row>
    <row r="15" spans="1:22">
      <c r="A15" s="55" t="s">
        <v>572</v>
      </c>
      <c r="B15" s="85">
        <v>692.6</v>
      </c>
      <c r="C15" s="85">
        <v>659</v>
      </c>
      <c r="D15" s="85">
        <v>686.1</v>
      </c>
      <c r="E15" s="85">
        <v>729.8</v>
      </c>
      <c r="F15" s="85">
        <v>727.2</v>
      </c>
      <c r="G15" s="85">
        <v>719.3</v>
      </c>
      <c r="H15" s="85"/>
      <c r="I15" s="74">
        <f>ROUND(B15*1.43,1)</f>
        <v>990.4</v>
      </c>
      <c r="J15" s="74">
        <f>ROUND(C15*1.43,1)</f>
        <v>942.4</v>
      </c>
      <c r="K15" s="74">
        <f t="shared" si="12"/>
        <v>981.1</v>
      </c>
      <c r="L15" s="74">
        <f t="shared" si="12"/>
        <v>1043.5999999999999</v>
      </c>
      <c r="M15" s="74">
        <f t="shared" si="12"/>
        <v>1039.9000000000001</v>
      </c>
      <c r="N15" s="74">
        <f t="shared" si="12"/>
        <v>1028.5999999999999</v>
      </c>
      <c r="O15" s="85"/>
      <c r="P15" s="74">
        <f>ROUND(B15*8.18,1)</f>
        <v>5665.5</v>
      </c>
      <c r="Q15" s="74">
        <f>ROUND(C15*8.18,1)</f>
        <v>5390.6</v>
      </c>
      <c r="R15" s="74">
        <f>ROUND(D15*8.18,1)</f>
        <v>5612.3</v>
      </c>
      <c r="S15" s="74">
        <f>ROUND(E15*8.18,1)</f>
        <v>5969.8</v>
      </c>
      <c r="T15" s="74">
        <f>ROUND(F15*8.18,1)</f>
        <v>5948.5</v>
      </c>
      <c r="U15" s="74">
        <f>ROUND(G15*8.18,1)</f>
        <v>5883.9</v>
      </c>
    </row>
    <row r="16" spans="1:22" ht="12.75" customHeight="1">
      <c r="A16" s="109"/>
      <c r="B16" s="488" t="s">
        <v>574</v>
      </c>
      <c r="C16" s="488"/>
      <c r="D16" s="488"/>
      <c r="E16" s="488"/>
      <c r="F16" s="488"/>
      <c r="G16" s="488"/>
      <c r="H16" s="117"/>
      <c r="I16" s="488" t="s">
        <v>568</v>
      </c>
      <c r="J16" s="488"/>
      <c r="K16" s="488"/>
      <c r="L16" s="488"/>
      <c r="M16" s="488"/>
      <c r="N16" s="488"/>
      <c r="O16" s="117"/>
      <c r="P16" s="488" t="s">
        <v>496</v>
      </c>
      <c r="Q16" s="488"/>
      <c r="R16" s="488"/>
      <c r="S16" s="488"/>
      <c r="T16" s="488"/>
      <c r="U16" s="488"/>
    </row>
    <row r="17" spans="1:22" ht="13.8">
      <c r="A17" s="55" t="s">
        <v>498</v>
      </c>
      <c r="B17" s="85">
        <v>1357.5</v>
      </c>
      <c r="C17" s="85">
        <v>1386.9</v>
      </c>
      <c r="D17" s="85">
        <v>1509.9</v>
      </c>
      <c r="E17" s="85">
        <v>1601.7</v>
      </c>
      <c r="F17" s="85">
        <v>1785</v>
      </c>
      <c r="G17" s="85">
        <v>1732.9</v>
      </c>
      <c r="H17" s="85"/>
      <c r="I17" s="74">
        <f t="shared" ref="I17:N17" si="13">ROUND(B17*1.43,1)</f>
        <v>1941.2</v>
      </c>
      <c r="J17" s="74">
        <f t="shared" si="13"/>
        <v>1983.3</v>
      </c>
      <c r="K17" s="74">
        <f t="shared" si="13"/>
        <v>2159.1999999999998</v>
      </c>
      <c r="L17" s="74">
        <f t="shared" si="13"/>
        <v>2290.4</v>
      </c>
      <c r="M17" s="74">
        <f t="shared" si="13"/>
        <v>2552.6</v>
      </c>
      <c r="N17" s="74">
        <f t="shared" si="13"/>
        <v>2478</v>
      </c>
      <c r="O17" s="74"/>
      <c r="P17" s="74">
        <f t="shared" ref="P17:U17" si="14">ROUND(B17*7.33,1)</f>
        <v>9950.5</v>
      </c>
      <c r="Q17" s="74">
        <f t="shared" si="14"/>
        <v>10166</v>
      </c>
      <c r="R17" s="74">
        <f t="shared" si="14"/>
        <v>11067.6</v>
      </c>
      <c r="S17" s="74">
        <f t="shared" si="14"/>
        <v>11740.5</v>
      </c>
      <c r="T17" s="74">
        <f t="shared" si="14"/>
        <v>13084.1</v>
      </c>
      <c r="U17" s="74">
        <f t="shared" si="14"/>
        <v>12702.2</v>
      </c>
    </row>
    <row r="18" spans="1:22" ht="13.8">
      <c r="A18" s="59" t="s">
        <v>499</v>
      </c>
      <c r="B18" s="118">
        <v>0.93</v>
      </c>
      <c r="C18" s="118">
        <v>0.93</v>
      </c>
      <c r="D18" s="118">
        <v>0.93</v>
      </c>
      <c r="E18" s="118">
        <v>0.92</v>
      </c>
      <c r="F18" s="118">
        <v>0.85</v>
      </c>
      <c r="G18" s="118">
        <v>0.9</v>
      </c>
      <c r="H18" s="104"/>
      <c r="I18" s="118">
        <v>0.93</v>
      </c>
      <c r="J18" s="118">
        <v>0.93</v>
      </c>
      <c r="K18" s="118">
        <v>0.93</v>
      </c>
      <c r="L18" s="118">
        <v>0.92</v>
      </c>
      <c r="M18" s="118">
        <v>0.85</v>
      </c>
      <c r="N18" s="118">
        <v>0.9</v>
      </c>
      <c r="O18" s="104"/>
      <c r="P18" s="118">
        <v>0.93</v>
      </c>
      <c r="Q18" s="118">
        <v>0.93</v>
      </c>
      <c r="R18" s="118">
        <v>0.93</v>
      </c>
      <c r="S18" s="118">
        <v>0.92</v>
      </c>
      <c r="T18" s="118">
        <v>0.85</v>
      </c>
      <c r="U18" s="118">
        <v>0.9</v>
      </c>
    </row>
    <row r="19" spans="1:22">
      <c r="A19" s="55" t="s">
        <v>570</v>
      </c>
      <c r="B19" s="85">
        <v>528.79999999999995</v>
      </c>
      <c r="C19" s="85">
        <v>688.9</v>
      </c>
      <c r="D19" s="85">
        <v>727</v>
      </c>
      <c r="E19" s="85">
        <v>713.2</v>
      </c>
      <c r="F19" s="85">
        <v>718.5</v>
      </c>
      <c r="G19" s="85">
        <v>717.4</v>
      </c>
      <c r="H19" s="85"/>
      <c r="I19" s="74">
        <f t="shared" ref="I19:L21" si="15">ROUND(B19*1.43,1)</f>
        <v>756.2</v>
      </c>
      <c r="J19" s="74">
        <f t="shared" si="15"/>
        <v>985.1</v>
      </c>
      <c r="K19" s="74">
        <f t="shared" si="15"/>
        <v>1039.5999999999999</v>
      </c>
      <c r="L19" s="74">
        <f t="shared" si="15"/>
        <v>1019.9</v>
      </c>
      <c r="M19" s="74">
        <f>ROUNDDOWN(F19*1.43,1)</f>
        <v>1027.4000000000001</v>
      </c>
      <c r="N19" s="74">
        <f>ROUND(G19*1.43,1)</f>
        <v>1025.9000000000001</v>
      </c>
      <c r="O19" s="74"/>
      <c r="P19" s="74">
        <f t="shared" ref="P19:U21" si="16">ROUND(B19*7.33,1)</f>
        <v>3876.1</v>
      </c>
      <c r="Q19" s="74">
        <f t="shared" si="16"/>
        <v>5049.6000000000004</v>
      </c>
      <c r="R19" s="74">
        <f t="shared" si="16"/>
        <v>5328.9</v>
      </c>
      <c r="S19" s="74">
        <f t="shared" si="16"/>
        <v>5227.8</v>
      </c>
      <c r="T19" s="74">
        <f t="shared" si="16"/>
        <v>5266.6</v>
      </c>
      <c r="U19" s="74">
        <f t="shared" si="16"/>
        <v>5258.5</v>
      </c>
      <c r="V19" s="6"/>
    </row>
    <row r="20" spans="1:22">
      <c r="A20" s="55" t="s">
        <v>571</v>
      </c>
      <c r="B20" s="85">
        <v>702.9</v>
      </c>
      <c r="C20" s="85">
        <v>377.6</v>
      </c>
      <c r="D20" s="85">
        <v>405.5</v>
      </c>
      <c r="E20" s="85">
        <v>565</v>
      </c>
      <c r="F20" s="85">
        <v>435.5</v>
      </c>
      <c r="G20" s="85">
        <v>464.5</v>
      </c>
      <c r="H20" s="85"/>
      <c r="I20" s="74">
        <f t="shared" si="15"/>
        <v>1005.1</v>
      </c>
      <c r="J20" s="74">
        <f t="shared" si="15"/>
        <v>540</v>
      </c>
      <c r="K20" s="74">
        <f t="shared" si="15"/>
        <v>579.9</v>
      </c>
      <c r="L20" s="74">
        <f>ROUNDDOWN(E20*1.43,1)</f>
        <v>807.9</v>
      </c>
      <c r="M20" s="74">
        <f>ROUND(F20*1.43,1)</f>
        <v>622.79999999999995</v>
      </c>
      <c r="N20" s="74">
        <f>ROUND(G20*1.43,1)</f>
        <v>664.2</v>
      </c>
      <c r="O20" s="74"/>
      <c r="P20" s="74">
        <f t="shared" si="16"/>
        <v>5152.3</v>
      </c>
      <c r="Q20" s="74">
        <f t="shared" si="16"/>
        <v>2767.8</v>
      </c>
      <c r="R20" s="74">
        <f t="shared" si="16"/>
        <v>2972.3</v>
      </c>
      <c r="S20" s="74">
        <f>ROUNDDOWN(E20*7.33,1)</f>
        <v>4141.3999999999996</v>
      </c>
      <c r="T20" s="74">
        <f t="shared" si="16"/>
        <v>3192.2</v>
      </c>
      <c r="U20" s="74">
        <f t="shared" si="16"/>
        <v>3404.8</v>
      </c>
      <c r="V20" s="6"/>
    </row>
    <row r="21" spans="1:22">
      <c r="A21" s="55" t="s">
        <v>572</v>
      </c>
      <c r="B21" s="85">
        <v>1231.7</v>
      </c>
      <c r="C21" s="85">
        <v>1066.5</v>
      </c>
      <c r="D21" s="85">
        <v>1132.5</v>
      </c>
      <c r="E21" s="85">
        <f>ROUND(1278.17,1)</f>
        <v>1278.2</v>
      </c>
      <c r="F21" s="85">
        <v>1154</v>
      </c>
      <c r="G21" s="85">
        <v>1181.9000000000001</v>
      </c>
      <c r="H21" s="85"/>
      <c r="I21" s="74">
        <f t="shared" si="15"/>
        <v>1761.3</v>
      </c>
      <c r="J21" s="74">
        <f t="shared" si="15"/>
        <v>1525.1</v>
      </c>
      <c r="K21" s="74">
        <f t="shared" si="15"/>
        <v>1619.5</v>
      </c>
      <c r="L21" s="74">
        <f t="shared" si="15"/>
        <v>1827.8</v>
      </c>
      <c r="M21" s="74">
        <f>ROUND(F21*1.43,1)</f>
        <v>1650.2</v>
      </c>
      <c r="N21" s="74">
        <f>ROUND(G21*1.43,1)</f>
        <v>1690.1</v>
      </c>
      <c r="O21" s="74"/>
      <c r="P21" s="74">
        <f t="shared" si="16"/>
        <v>9028.4</v>
      </c>
      <c r="Q21" s="74">
        <f t="shared" si="16"/>
        <v>7817.4</v>
      </c>
      <c r="R21" s="74">
        <f t="shared" si="16"/>
        <v>8301.2000000000007</v>
      </c>
      <c r="S21" s="74">
        <f t="shared" si="16"/>
        <v>9369.2000000000007</v>
      </c>
      <c r="T21" s="74">
        <f>ROUND(F21*7.33,1)</f>
        <v>8458.7999999999993</v>
      </c>
      <c r="U21" s="74">
        <f>ROUND(G21*7.33,1)</f>
        <v>8663.2999999999993</v>
      </c>
      <c r="V21" s="6"/>
    </row>
    <row r="22" spans="1:22" ht="12.75" customHeight="1">
      <c r="A22" s="109"/>
      <c r="B22" s="497"/>
      <c r="C22" s="497"/>
      <c r="D22" s="497"/>
      <c r="E22" s="497"/>
      <c r="F22" s="497"/>
      <c r="G22" s="125"/>
      <c r="H22" s="126"/>
      <c r="I22" s="488" t="s">
        <v>394</v>
      </c>
      <c r="J22" s="488"/>
      <c r="K22" s="488"/>
      <c r="L22" s="488"/>
      <c r="M22" s="488"/>
      <c r="N22" s="24"/>
      <c r="O22" s="117"/>
      <c r="P22" s="488" t="s">
        <v>395</v>
      </c>
      <c r="Q22" s="488"/>
      <c r="R22" s="488"/>
      <c r="S22" s="488"/>
      <c r="T22" s="488"/>
      <c r="U22" s="24"/>
    </row>
    <row r="23" spans="1:22" ht="13.8">
      <c r="A23" s="55" t="s">
        <v>498</v>
      </c>
      <c r="B23" s="84" t="s">
        <v>420</v>
      </c>
      <c r="C23" s="84" t="s">
        <v>420</v>
      </c>
      <c r="D23" s="84" t="s">
        <v>420</v>
      </c>
      <c r="E23" s="84" t="s">
        <v>420</v>
      </c>
      <c r="F23" s="84" t="s">
        <v>420</v>
      </c>
      <c r="G23" s="84" t="s">
        <v>420</v>
      </c>
      <c r="H23" s="84"/>
      <c r="I23" s="85">
        <f t="shared" ref="I23:N23" si="17">I5+I11+I17</f>
        <v>37297.300000000003</v>
      </c>
      <c r="J23" s="85">
        <f t="shared" si="17"/>
        <v>38175.300000000003</v>
      </c>
      <c r="K23" s="85">
        <f t="shared" si="17"/>
        <v>38265.5</v>
      </c>
      <c r="L23" s="85">
        <f t="shared" si="17"/>
        <v>42355.199999999997</v>
      </c>
      <c r="M23" s="85">
        <f t="shared" si="17"/>
        <v>43197</v>
      </c>
      <c r="N23" s="85">
        <f t="shared" si="17"/>
        <v>42457.700000000004</v>
      </c>
      <c r="O23" s="85"/>
      <c r="P23" s="85">
        <f t="shared" ref="P23:U23" si="18">P5+P11+P17</f>
        <v>191479.59999999998</v>
      </c>
      <c r="Q23" s="85">
        <f t="shared" si="18"/>
        <v>195962.30000000002</v>
      </c>
      <c r="R23" s="85">
        <f t="shared" si="18"/>
        <v>196421.9</v>
      </c>
      <c r="S23" s="85">
        <f t="shared" si="18"/>
        <v>217364.6</v>
      </c>
      <c r="T23" s="85">
        <f t="shared" si="18"/>
        <v>221700.19999999998</v>
      </c>
      <c r="U23" s="85">
        <f t="shared" si="18"/>
        <v>217889.90000000002</v>
      </c>
    </row>
    <row r="24" spans="1:22" ht="13.8">
      <c r="A24" s="59" t="s">
        <v>499</v>
      </c>
      <c r="B24" s="84" t="s">
        <v>420</v>
      </c>
      <c r="C24" s="84" t="s">
        <v>420</v>
      </c>
      <c r="D24" s="84" t="s">
        <v>420</v>
      </c>
      <c r="E24" s="84" t="s">
        <v>420</v>
      </c>
      <c r="F24" s="84" t="s">
        <v>420</v>
      </c>
      <c r="G24" s="84" t="s">
        <v>420</v>
      </c>
      <c r="H24" s="84"/>
      <c r="I24" s="118">
        <f>ROUND((I5*I6+I11*I12+I17*I18)/I23,2)</f>
        <v>0.95</v>
      </c>
      <c r="J24" s="118">
        <f>ROUND((J5*J6+J11*J12+J17*J18)/J23,2)</f>
        <v>0.93</v>
      </c>
      <c r="K24" s="118">
        <f>ROUND((K5*K6+K11*K12+K17*K18)/K23,2)</f>
        <v>0.95</v>
      </c>
      <c r="L24" s="118">
        <f>ROUND((L5*L6+L11*L12+L17*L18)/L23,2)</f>
        <v>0.88</v>
      </c>
      <c r="M24" s="118">
        <f>ROUND((M5*M6+M11*M12+M17*M18)/M23,2)</f>
        <v>0.88</v>
      </c>
      <c r="N24" s="118">
        <f>ROUNDDOWN((N5*N6+N11*N12+N17*N18)/N23,2)</f>
        <v>0.92</v>
      </c>
      <c r="O24" s="104"/>
      <c r="P24" s="118">
        <f t="shared" ref="P24:U24" si="19">ROUND((P5*P6+P11*P12+P17*P18)/P23,2)</f>
        <v>0.95</v>
      </c>
      <c r="Q24" s="118">
        <f t="shared" si="19"/>
        <v>0.93</v>
      </c>
      <c r="R24" s="118">
        <f t="shared" si="19"/>
        <v>0.95</v>
      </c>
      <c r="S24" s="118">
        <f t="shared" si="19"/>
        <v>0.88</v>
      </c>
      <c r="T24" s="118">
        <f t="shared" si="19"/>
        <v>0.88</v>
      </c>
      <c r="U24" s="118">
        <f t="shared" si="19"/>
        <v>0.92</v>
      </c>
    </row>
    <row r="25" spans="1:22">
      <c r="A25" s="55" t="s">
        <v>570</v>
      </c>
      <c r="B25" s="84" t="s">
        <v>420</v>
      </c>
      <c r="C25" s="84" t="s">
        <v>420</v>
      </c>
      <c r="D25" s="84" t="s">
        <v>420</v>
      </c>
      <c r="E25" s="84" t="s">
        <v>420</v>
      </c>
      <c r="F25" s="84" t="s">
        <v>420</v>
      </c>
      <c r="G25" s="84" t="s">
        <v>420</v>
      </c>
      <c r="H25" s="84"/>
      <c r="I25" s="85">
        <f t="shared" ref="I25:N27" si="20">I7+I13+I19</f>
        <v>20006.599999999999</v>
      </c>
      <c r="J25" s="85">
        <f t="shared" si="20"/>
        <v>22729.899999999998</v>
      </c>
      <c r="K25" s="85">
        <f t="shared" si="20"/>
        <v>22955.699999999997</v>
      </c>
      <c r="L25" s="85">
        <f t="shared" si="20"/>
        <v>22849.300000000003</v>
      </c>
      <c r="M25" s="85">
        <f t="shared" si="20"/>
        <v>23341.200000000001</v>
      </c>
      <c r="N25" s="85">
        <f t="shared" si="20"/>
        <v>23759.9</v>
      </c>
      <c r="O25" s="85"/>
      <c r="P25" s="85">
        <f t="shared" ref="P25:U27" si="21">P7+P13+P19</f>
        <v>102577.60000000001</v>
      </c>
      <c r="Q25" s="85">
        <f t="shared" si="21"/>
        <v>116501</v>
      </c>
      <c r="R25" s="85">
        <f t="shared" si="21"/>
        <v>117690</v>
      </c>
      <c r="S25" s="85">
        <f t="shared" si="21"/>
        <v>117162.90000000001</v>
      </c>
      <c r="T25" s="85">
        <f t="shared" si="21"/>
        <v>119672.40000000001</v>
      </c>
      <c r="U25" s="85">
        <f t="shared" si="21"/>
        <v>121797.1</v>
      </c>
    </row>
    <row r="26" spans="1:22">
      <c r="A26" s="55" t="s">
        <v>571</v>
      </c>
      <c r="B26" s="84" t="s">
        <v>420</v>
      </c>
      <c r="C26" s="84" t="s">
        <v>420</v>
      </c>
      <c r="D26" s="84" t="s">
        <v>420</v>
      </c>
      <c r="E26" s="84" t="s">
        <v>420</v>
      </c>
      <c r="F26" s="84" t="s">
        <v>420</v>
      </c>
      <c r="G26" s="84" t="s">
        <v>420</v>
      </c>
      <c r="H26" s="84"/>
      <c r="I26" s="85">
        <f t="shared" si="20"/>
        <v>6759.0000000000009</v>
      </c>
      <c r="J26" s="85">
        <f t="shared" si="20"/>
        <v>3703.4</v>
      </c>
      <c r="K26" s="85">
        <f t="shared" si="20"/>
        <v>3692</v>
      </c>
      <c r="L26" s="85">
        <f t="shared" si="20"/>
        <v>4574.6000000000004</v>
      </c>
      <c r="M26" s="85">
        <f t="shared" si="20"/>
        <v>4676.8999999999996</v>
      </c>
      <c r="N26" s="85">
        <f t="shared" si="20"/>
        <v>4947.2</v>
      </c>
      <c r="O26" s="85"/>
      <c r="P26" s="85">
        <f t="shared" si="21"/>
        <v>34683.100000000006</v>
      </c>
      <c r="Q26" s="85">
        <f t="shared" si="21"/>
        <v>19028.2</v>
      </c>
      <c r="R26" s="85">
        <f t="shared" si="21"/>
        <v>18959.3</v>
      </c>
      <c r="S26" s="85">
        <f t="shared" si="21"/>
        <v>23491.699999999997</v>
      </c>
      <c r="T26" s="85">
        <f t="shared" si="21"/>
        <v>24008.600000000002</v>
      </c>
      <c r="U26" s="85">
        <f t="shared" si="21"/>
        <v>25394.699999999997</v>
      </c>
    </row>
    <row r="27" spans="1:22">
      <c r="A27" s="55" t="s">
        <v>572</v>
      </c>
      <c r="B27" s="84" t="s">
        <v>420</v>
      </c>
      <c r="C27" s="84" t="s">
        <v>420</v>
      </c>
      <c r="D27" s="84" t="s">
        <v>420</v>
      </c>
      <c r="E27" s="84" t="s">
        <v>420</v>
      </c>
      <c r="F27" s="84" t="s">
        <v>420</v>
      </c>
      <c r="G27" s="84" t="s">
        <v>420</v>
      </c>
      <c r="H27" s="84"/>
      <c r="I27" s="85">
        <f t="shared" si="20"/>
        <v>26765.600000000002</v>
      </c>
      <c r="J27" s="85">
        <f t="shared" si="20"/>
        <v>26433.3</v>
      </c>
      <c r="K27" s="85">
        <f t="shared" si="20"/>
        <v>26647.699999999997</v>
      </c>
      <c r="L27" s="85">
        <f t="shared" si="20"/>
        <v>27423.899999999998</v>
      </c>
      <c r="M27" s="85">
        <f t="shared" si="20"/>
        <v>28018.100000000002</v>
      </c>
      <c r="N27" s="85">
        <f t="shared" si="20"/>
        <v>28707.1</v>
      </c>
      <c r="O27" s="85"/>
      <c r="P27" s="85">
        <f t="shared" si="21"/>
        <v>137260.70000000001</v>
      </c>
      <c r="Q27" s="85">
        <f t="shared" si="21"/>
        <v>135529.20000000001</v>
      </c>
      <c r="R27" s="85">
        <f t="shared" si="21"/>
        <v>136649.30000000002</v>
      </c>
      <c r="S27" s="85">
        <f t="shared" si="21"/>
        <v>140654.6</v>
      </c>
      <c r="T27" s="85">
        <f t="shared" si="21"/>
        <v>143681</v>
      </c>
      <c r="U27" s="85">
        <f t="shared" si="21"/>
        <v>147191.79999999999</v>
      </c>
    </row>
    <row r="28" spans="1:22" ht="12.75" customHeight="1">
      <c r="A28" s="495"/>
      <c r="B28" s="488" t="s">
        <v>497</v>
      </c>
      <c r="C28" s="488"/>
      <c r="D28" s="488"/>
      <c r="E28" s="488"/>
      <c r="F28" s="488"/>
      <c r="G28" s="488"/>
      <c r="H28" s="498"/>
      <c r="I28" s="498"/>
      <c r="J28" s="498"/>
      <c r="K28" s="498"/>
      <c r="L28" s="498"/>
      <c r="M28" s="498"/>
      <c r="N28" s="126"/>
      <c r="O28" s="498"/>
      <c r="P28" s="498"/>
      <c r="Q28" s="498"/>
      <c r="R28" s="498"/>
      <c r="S28" s="498"/>
      <c r="T28" s="498"/>
      <c r="U28" s="126"/>
    </row>
    <row r="29" spans="1:22" ht="12.75" customHeight="1">
      <c r="A29" s="495"/>
      <c r="B29" s="488" t="s">
        <v>292</v>
      </c>
      <c r="C29" s="488"/>
      <c r="D29" s="488"/>
      <c r="E29" s="488"/>
      <c r="F29" s="488"/>
      <c r="G29" s="488"/>
      <c r="H29" s="498"/>
      <c r="I29" s="498"/>
      <c r="J29" s="498"/>
      <c r="K29" s="498"/>
      <c r="L29" s="498"/>
      <c r="M29" s="498"/>
      <c r="N29" s="126"/>
      <c r="O29" s="498"/>
      <c r="P29" s="498"/>
      <c r="Q29" s="498"/>
      <c r="R29" s="498"/>
      <c r="S29" s="498"/>
      <c r="T29" s="498"/>
      <c r="U29" s="126"/>
    </row>
    <row r="30" spans="1:22" ht="13.8" thickBot="1">
      <c r="A30" s="127" t="s">
        <v>575</v>
      </c>
      <c r="B30" s="85">
        <v>160.80000000000001</v>
      </c>
      <c r="C30" s="128">
        <v>208.6</v>
      </c>
      <c r="D30" s="128">
        <v>230.3</v>
      </c>
      <c r="E30" s="128">
        <v>230.1</v>
      </c>
      <c r="F30" s="128">
        <v>241.4</v>
      </c>
      <c r="G30" s="128">
        <v>269.60000000000002</v>
      </c>
      <c r="H30" s="84"/>
      <c r="I30" s="84" t="s">
        <v>420</v>
      </c>
      <c r="J30" s="87" t="s">
        <v>420</v>
      </c>
      <c r="K30" s="87" t="s">
        <v>420</v>
      </c>
      <c r="L30" s="87" t="s">
        <v>420</v>
      </c>
      <c r="M30" s="87" t="s">
        <v>420</v>
      </c>
      <c r="N30" s="87" t="s">
        <v>420</v>
      </c>
      <c r="O30" s="84"/>
      <c r="P30" s="84" t="s">
        <v>420</v>
      </c>
      <c r="Q30" s="87" t="s">
        <v>420</v>
      </c>
      <c r="R30" s="87" t="s">
        <v>420</v>
      </c>
      <c r="S30" s="87" t="s">
        <v>420</v>
      </c>
      <c r="T30" s="87" t="s">
        <v>420</v>
      </c>
      <c r="U30" s="87" t="s">
        <v>420</v>
      </c>
    </row>
    <row r="31" spans="1:22" ht="13.8" thickTop="1">
      <c r="A31" s="499" t="s">
        <v>407</v>
      </c>
      <c r="B31" s="499"/>
      <c r="C31" s="499"/>
      <c r="D31" s="499"/>
      <c r="E31" s="499"/>
      <c r="F31" s="499"/>
      <c r="G31" s="499"/>
      <c r="H31" s="499"/>
      <c r="I31" s="499"/>
      <c r="J31" s="499"/>
      <c r="K31" s="499"/>
      <c r="L31" s="499"/>
      <c r="M31" s="499"/>
      <c r="N31" s="499"/>
      <c r="O31" s="499"/>
      <c r="P31" s="499"/>
      <c r="Q31" s="499"/>
      <c r="R31" s="499"/>
      <c r="S31" s="499"/>
      <c r="T31" s="499"/>
      <c r="U31" s="499"/>
    </row>
    <row r="32" spans="1:22">
      <c r="A32" s="129"/>
      <c r="B32" s="129"/>
      <c r="C32" s="129"/>
      <c r="D32" s="129"/>
      <c r="E32" s="129"/>
      <c r="F32" s="129"/>
      <c r="G32" s="129"/>
      <c r="H32" s="129"/>
      <c r="I32" s="129"/>
      <c r="J32" s="129"/>
      <c r="K32" s="129"/>
      <c r="L32" s="129"/>
      <c r="M32" s="129"/>
      <c r="N32" s="129"/>
      <c r="O32" s="129"/>
      <c r="P32" s="129"/>
      <c r="Q32" s="129"/>
      <c r="R32" s="129"/>
      <c r="S32" s="129"/>
      <c r="T32" s="129"/>
      <c r="U32" s="129"/>
    </row>
    <row r="33" spans="1:21">
      <c r="A33" s="487" t="s">
        <v>776</v>
      </c>
      <c r="B33" s="487"/>
      <c r="C33" s="487"/>
      <c r="D33" s="487"/>
      <c r="E33" s="487"/>
      <c r="F33" s="487"/>
      <c r="G33" s="487"/>
      <c r="H33" s="487"/>
      <c r="I33" s="21"/>
      <c r="J33" s="21"/>
      <c r="K33" s="21"/>
      <c r="L33" s="21"/>
      <c r="M33" s="21"/>
      <c r="N33" s="21"/>
      <c r="O33" s="21"/>
      <c r="P33" s="21"/>
      <c r="Q33" s="21"/>
      <c r="R33" s="21"/>
      <c r="S33" s="21"/>
      <c r="T33" s="21"/>
      <c r="U33" s="21"/>
    </row>
    <row r="34" spans="1:21" hidden="1"/>
    <row r="35" spans="1:21" hidden="1"/>
    <row r="36" spans="1:21" hidden="1"/>
    <row r="37" spans="1:21" hidden="1"/>
  </sheetData>
  <sheetProtection password="CAF1" sheet="1" formatCells="0" formatColumns="0" formatRows="0" insertColumns="0" insertRows="0" insertHyperlinks="0" deleteColumns="0" deleteRows="0" sort="0" autoFilter="0" pivotTables="0"/>
  <mergeCells count="24">
    <mergeCell ref="B16:G16"/>
    <mergeCell ref="P2:T2"/>
    <mergeCell ref="B10:G10"/>
    <mergeCell ref="P4:U4"/>
    <mergeCell ref="P10:U10"/>
    <mergeCell ref="B2:F2"/>
    <mergeCell ref="I2:M2"/>
    <mergeCell ref="B4:G4"/>
    <mergeCell ref="I4:N4"/>
    <mergeCell ref="P16:U16"/>
    <mergeCell ref="I10:N10"/>
    <mergeCell ref="I16:N16"/>
    <mergeCell ref="A33:H33"/>
    <mergeCell ref="B28:G28"/>
    <mergeCell ref="B29:G29"/>
    <mergeCell ref="B22:F22"/>
    <mergeCell ref="A28:A29"/>
    <mergeCell ref="H28:H29"/>
    <mergeCell ref="A31:U31"/>
    <mergeCell ref="P28:T29"/>
    <mergeCell ref="P22:T22"/>
    <mergeCell ref="I28:M29"/>
    <mergeCell ref="O28:O29"/>
    <mergeCell ref="I22:M22"/>
  </mergeCells>
  <phoneticPr fontId="8" type="noConversion"/>
  <hyperlinks>
    <hyperlink ref="A33:H33" location="Титул!A1" display="Вернуться к Содержанию"/>
  </hyperlinks>
  <pageMargins left="0.25" right="0.25" top="0.75" bottom="0.75" header="0.3" footer="0.3"/>
  <pageSetup paperSize="9" firstPageNumber="8" orientation="landscape" useFirstPageNumber="1" r:id="rId1"/>
  <headerFooter alignWithMargins="0">
    <oddHeader>&amp;L&amp;"Times New Roman,полужирный"Газпром в цифрах 2006-2010 гг.&amp;R&amp;"Times New Roman,полужирный"Справочник</oddHeader>
    <oddFooter>&amp;C&amp;P</oddFooter>
  </headerFooter>
</worksheet>
</file>

<file path=xl/worksheets/sheet8.xml><?xml version="1.0" encoding="utf-8"?>
<worksheet xmlns="http://schemas.openxmlformats.org/spreadsheetml/2006/main" xmlns:r="http://schemas.openxmlformats.org/officeDocument/2006/relationships">
  <sheetPr codeName="Лист8"/>
  <dimension ref="A1:DQ124"/>
  <sheetViews>
    <sheetView zoomScaleNormal="100" zoomScaleSheetLayoutView="100" workbookViewId="0"/>
  </sheetViews>
  <sheetFormatPr defaultColWidth="0" defaultRowHeight="13.2" zeroHeight="1" outlineLevelCol="1"/>
  <cols>
    <col min="1" max="1" width="31.33203125" style="1" customWidth="1"/>
    <col min="2" max="2" width="7.33203125" style="1" hidden="1" customWidth="1" outlineLevel="1"/>
    <col min="3" max="3" width="7.33203125" style="1" customWidth="1" collapsed="1"/>
    <col min="4" max="7" width="7.33203125" style="1" customWidth="1"/>
    <col min="8" max="8" width="1" style="4" customWidth="1"/>
    <col min="9" max="9" width="7.33203125" style="1" hidden="1" customWidth="1" outlineLevel="1"/>
    <col min="10" max="10" width="7.33203125" style="1" customWidth="1" collapsed="1"/>
    <col min="11" max="13" width="7.33203125" style="1" customWidth="1"/>
    <col min="14" max="14" width="7.44140625" style="1" customWidth="1"/>
    <col min="15" max="15" width="0.88671875" style="458" customWidth="1"/>
    <col min="16" max="16" width="9.33203125" style="1" hidden="1" customWidth="1" outlineLevel="1"/>
    <col min="17" max="17" width="7.6640625" style="1" customWidth="1" collapsed="1"/>
    <col min="18" max="21" width="7.6640625" style="1" customWidth="1"/>
    <col min="22" max="41" width="7.6640625" style="4" hidden="1" customWidth="1"/>
    <col min="42" max="71" width="7.6640625" style="1" hidden="1" customWidth="1"/>
    <col min="72" max="16384" width="0" style="1" hidden="1"/>
  </cols>
  <sheetData>
    <row r="1" spans="1:22" ht="15.6">
      <c r="A1" s="51" t="s">
        <v>500</v>
      </c>
      <c r="B1" s="28"/>
      <c r="C1" s="28"/>
      <c r="D1" s="28"/>
      <c r="E1" s="28"/>
      <c r="F1" s="28"/>
      <c r="G1" s="28"/>
      <c r="H1" s="29"/>
      <c r="I1" s="28"/>
      <c r="J1" s="28"/>
      <c r="K1" s="28"/>
      <c r="L1" s="28"/>
      <c r="M1" s="28"/>
      <c r="N1" s="28"/>
      <c r="O1" s="457"/>
      <c r="P1" s="28"/>
      <c r="Q1" s="28"/>
      <c r="R1" s="28"/>
      <c r="S1" s="28"/>
      <c r="T1" s="28"/>
      <c r="U1" s="28"/>
    </row>
    <row r="2" spans="1:22" ht="12.75" customHeight="1">
      <c r="A2" s="90"/>
      <c r="B2" s="507" t="s">
        <v>569</v>
      </c>
      <c r="C2" s="507"/>
      <c r="D2" s="507"/>
      <c r="E2" s="507"/>
      <c r="F2" s="507"/>
      <c r="G2" s="507"/>
      <c r="H2" s="92"/>
      <c r="I2" s="507" t="s">
        <v>569</v>
      </c>
      <c r="J2" s="507"/>
      <c r="K2" s="507"/>
      <c r="L2" s="507"/>
      <c r="M2" s="507"/>
      <c r="N2" s="507"/>
      <c r="P2" s="456"/>
      <c r="Q2" s="507" t="s">
        <v>569</v>
      </c>
      <c r="R2" s="507"/>
      <c r="S2" s="507"/>
      <c r="T2" s="507"/>
      <c r="U2" s="507"/>
    </row>
    <row r="3" spans="1:22">
      <c r="A3" s="90"/>
      <c r="B3" s="93">
        <v>2005</v>
      </c>
      <c r="C3" s="93">
        <v>2006</v>
      </c>
      <c r="D3" s="93">
        <v>2007</v>
      </c>
      <c r="E3" s="93">
        <v>2008</v>
      </c>
      <c r="F3" s="93">
        <v>2009</v>
      </c>
      <c r="G3" s="93">
        <v>2010</v>
      </c>
      <c r="H3" s="33"/>
      <c r="I3" s="93">
        <v>2005</v>
      </c>
      <c r="J3" s="93">
        <v>2006</v>
      </c>
      <c r="K3" s="93">
        <v>2007</v>
      </c>
      <c r="L3" s="93">
        <v>2008</v>
      </c>
      <c r="M3" s="93">
        <v>2009</v>
      </c>
      <c r="N3" s="93">
        <v>2010</v>
      </c>
      <c r="P3" s="93">
        <v>2005</v>
      </c>
      <c r="Q3" s="93">
        <v>2006</v>
      </c>
      <c r="R3" s="93">
        <v>2007</v>
      </c>
      <c r="S3" s="93">
        <v>2008</v>
      </c>
      <c r="T3" s="93">
        <v>2009</v>
      </c>
      <c r="U3" s="93">
        <v>2010</v>
      </c>
    </row>
    <row r="4" spans="1:22" ht="12.75" customHeight="1">
      <c r="A4" s="90"/>
      <c r="B4" s="507" t="s">
        <v>419</v>
      </c>
      <c r="C4" s="507"/>
      <c r="D4" s="507"/>
      <c r="E4" s="507"/>
      <c r="F4" s="507"/>
      <c r="G4" s="507"/>
      <c r="H4" s="31"/>
      <c r="I4" s="488" t="s">
        <v>566</v>
      </c>
      <c r="J4" s="488"/>
      <c r="K4" s="488"/>
      <c r="L4" s="488"/>
      <c r="M4" s="488"/>
      <c r="N4" s="488"/>
      <c r="P4" s="30"/>
      <c r="Q4" s="488" t="s">
        <v>567</v>
      </c>
      <c r="R4" s="488"/>
      <c r="S4" s="488"/>
      <c r="T4" s="488"/>
      <c r="U4" s="488"/>
    </row>
    <row r="5" spans="1:22" ht="19.5" customHeight="1">
      <c r="A5" s="503" t="s">
        <v>383</v>
      </c>
      <c r="B5" s="64"/>
      <c r="C5" s="64"/>
      <c r="D5" s="64"/>
      <c r="E5" s="64"/>
      <c r="F5" s="64"/>
      <c r="G5" s="64"/>
      <c r="H5" s="94"/>
      <c r="I5" s="94"/>
      <c r="J5" s="94"/>
      <c r="K5" s="94"/>
      <c r="L5" s="94"/>
      <c r="M5" s="94"/>
      <c r="N5" s="94"/>
      <c r="P5" s="94"/>
      <c r="Q5" s="94"/>
      <c r="R5" s="94"/>
      <c r="S5" s="94"/>
      <c r="T5" s="94"/>
      <c r="U5" s="94"/>
    </row>
    <row r="6" spans="1:22">
      <c r="A6" s="503"/>
      <c r="B6" s="64"/>
      <c r="C6" s="64"/>
      <c r="D6" s="64"/>
      <c r="E6" s="64"/>
      <c r="F6" s="64"/>
      <c r="G6" s="64"/>
      <c r="H6" s="94"/>
      <c r="I6" s="94"/>
      <c r="J6" s="94"/>
      <c r="K6" s="94"/>
      <c r="L6" s="94"/>
      <c r="M6" s="94"/>
      <c r="N6" s="94"/>
      <c r="P6" s="94"/>
      <c r="Q6" s="94"/>
      <c r="R6" s="94"/>
      <c r="S6" s="94"/>
      <c r="T6" s="94"/>
      <c r="U6" s="94"/>
    </row>
    <row r="7" spans="1:22">
      <c r="A7" s="64" t="s">
        <v>570</v>
      </c>
      <c r="B7" s="76">
        <v>15714.7</v>
      </c>
      <c r="C7" s="76">
        <v>17902.5</v>
      </c>
      <c r="D7" s="76">
        <v>17319.5</v>
      </c>
      <c r="E7" s="76">
        <v>17196.8</v>
      </c>
      <c r="F7" s="76">
        <v>17645.5</v>
      </c>
      <c r="G7" s="76">
        <v>18029.400000000001</v>
      </c>
      <c r="H7" s="94"/>
      <c r="I7" s="76">
        <f t="shared" ref="I7:N7" si="0">ROUND(B7*1.154,1)</f>
        <v>18134.8</v>
      </c>
      <c r="J7" s="76">
        <f t="shared" si="0"/>
        <v>20659.5</v>
      </c>
      <c r="K7" s="76">
        <f t="shared" si="0"/>
        <v>19986.7</v>
      </c>
      <c r="L7" s="76">
        <f t="shared" si="0"/>
        <v>19845.099999999999</v>
      </c>
      <c r="M7" s="76">
        <f t="shared" si="0"/>
        <v>20362.900000000001</v>
      </c>
      <c r="N7" s="76">
        <f t="shared" si="0"/>
        <v>20805.900000000001</v>
      </c>
      <c r="P7" s="76">
        <f t="shared" ref="P7:U7" si="1">ROUND(B7*5.89,1)</f>
        <v>92559.6</v>
      </c>
      <c r="Q7" s="76">
        <f t="shared" si="1"/>
        <v>105445.7</v>
      </c>
      <c r="R7" s="76">
        <f t="shared" si="1"/>
        <v>102011.9</v>
      </c>
      <c r="S7" s="76">
        <f t="shared" si="1"/>
        <v>101289.2</v>
      </c>
      <c r="T7" s="76">
        <f t="shared" si="1"/>
        <v>103932</v>
      </c>
      <c r="U7" s="76">
        <f t="shared" si="1"/>
        <v>106193.2</v>
      </c>
    </row>
    <row r="8" spans="1:22">
      <c r="A8" s="55" t="s">
        <v>571</v>
      </c>
      <c r="B8" s="85">
        <f>IF(4672&lt;&gt;B9-B7,B9-B7,4672)</f>
        <v>4671.8999999999978</v>
      </c>
      <c r="C8" s="85">
        <v>2572.4</v>
      </c>
      <c r="D8" s="85">
        <v>2539.4</v>
      </c>
      <c r="E8" s="85">
        <v>2908.8</v>
      </c>
      <c r="F8" s="76">
        <v>3255.2</v>
      </c>
      <c r="G8" s="76">
        <v>3420.6</v>
      </c>
      <c r="H8" s="94"/>
      <c r="I8" s="85">
        <f>IF(ROUND(B8*1.154,1)&lt;&gt;I9-I7,I9-I7,ROUND(B8*1.154,1))</f>
        <v>5391.2999999999993</v>
      </c>
      <c r="J8" s="76">
        <f t="shared" ref="J8:N9" si="2">ROUND(C8*1.154,1)</f>
        <v>2968.5</v>
      </c>
      <c r="K8" s="76">
        <f t="shared" si="2"/>
        <v>2930.5</v>
      </c>
      <c r="L8" s="76">
        <f t="shared" si="2"/>
        <v>3356.8</v>
      </c>
      <c r="M8" s="76">
        <f t="shared" si="2"/>
        <v>3756.5</v>
      </c>
      <c r="N8" s="76">
        <f t="shared" si="2"/>
        <v>3947.4</v>
      </c>
      <c r="P8" s="85">
        <f>IF(ROUND(B8*5.89,1)&lt;&gt;P9-P7,P9-P7,ROUND(B8*5.89,1))</f>
        <v>27517.5</v>
      </c>
      <c r="Q8" s="85">
        <f>IF(ROUND(C8*5.89,1)&lt;&gt;Q9-Q7,Q9-Q7,ROUND(C8*5.89,1))</f>
        <v>15151.5</v>
      </c>
      <c r="R8" s="85">
        <f>ROUND(D8*5.89,1)</f>
        <v>14957.1</v>
      </c>
      <c r="S8" s="76">
        <f t="shared" ref="S8:U9" si="3">ROUND(E8*5.89,1)</f>
        <v>17132.8</v>
      </c>
      <c r="T8" s="76">
        <f t="shared" si="3"/>
        <v>19173.099999999999</v>
      </c>
      <c r="U8" s="76">
        <f t="shared" si="3"/>
        <v>20147.3</v>
      </c>
      <c r="V8" s="7"/>
    </row>
    <row r="9" spans="1:22" ht="13.8" thickBot="1">
      <c r="A9" s="61" t="s">
        <v>572</v>
      </c>
      <c r="B9" s="95">
        <v>20386.599999999999</v>
      </c>
      <c r="C9" s="95">
        <v>20474.900000000001</v>
      </c>
      <c r="D9" s="95">
        <v>19858.900000000001</v>
      </c>
      <c r="E9" s="95">
        <v>20105.599999999999</v>
      </c>
      <c r="F9" s="95">
        <v>20900.7</v>
      </c>
      <c r="G9" s="95">
        <v>21450</v>
      </c>
      <c r="H9" s="76"/>
      <c r="I9" s="76">
        <f>ROUND(B9*1.154,1)</f>
        <v>23526.1</v>
      </c>
      <c r="J9" s="95">
        <f t="shared" si="2"/>
        <v>23628</v>
      </c>
      <c r="K9" s="95">
        <f t="shared" si="2"/>
        <v>22917.200000000001</v>
      </c>
      <c r="L9" s="95">
        <f t="shared" si="2"/>
        <v>23201.9</v>
      </c>
      <c r="M9" s="95">
        <f t="shared" si="2"/>
        <v>24119.4</v>
      </c>
      <c r="N9" s="95">
        <f t="shared" si="2"/>
        <v>24753.3</v>
      </c>
      <c r="P9" s="76">
        <f>ROUND(B9*5.89,1)</f>
        <v>120077.1</v>
      </c>
      <c r="Q9" s="95">
        <f>ROUND(C9*5.89,1)</f>
        <v>120597.2</v>
      </c>
      <c r="R9" s="95">
        <f>ROUNDUP(D9*5.89, 1)</f>
        <v>116969</v>
      </c>
      <c r="S9" s="95">
        <f t="shared" si="3"/>
        <v>118422</v>
      </c>
      <c r="T9" s="95">
        <f t="shared" si="3"/>
        <v>123105.1</v>
      </c>
      <c r="U9" s="95">
        <f t="shared" si="3"/>
        <v>126340.5</v>
      </c>
    </row>
    <row r="10" spans="1:22" ht="13.5" customHeight="1">
      <c r="A10" s="509" t="s">
        <v>24</v>
      </c>
      <c r="B10" s="502" t="s">
        <v>25</v>
      </c>
      <c r="C10" s="502"/>
      <c r="D10" s="502"/>
      <c r="E10" s="502"/>
      <c r="F10" s="502"/>
      <c r="G10" s="502"/>
      <c r="H10" s="94"/>
      <c r="I10" s="64"/>
      <c r="J10" s="64"/>
      <c r="K10" s="64"/>
      <c r="L10" s="64"/>
      <c r="M10" s="64"/>
      <c r="N10" s="64"/>
      <c r="P10" s="64"/>
      <c r="Q10" s="64"/>
      <c r="R10" s="64"/>
      <c r="S10" s="64"/>
      <c r="T10" s="64"/>
      <c r="U10" s="64"/>
    </row>
    <row r="11" spans="1:22" ht="12.75" customHeight="1" thickBot="1">
      <c r="A11" s="510"/>
      <c r="B11" s="96">
        <v>0.75680000000000003</v>
      </c>
      <c r="C11" s="96">
        <v>0.75680000000000003</v>
      </c>
      <c r="D11" s="96">
        <v>0.75680000000000003</v>
      </c>
      <c r="E11" s="96">
        <v>0.75680000000000003</v>
      </c>
      <c r="F11" s="96">
        <v>0.95679999999999998</v>
      </c>
      <c r="G11" s="96">
        <v>0.95679999999999998</v>
      </c>
      <c r="H11" s="94"/>
      <c r="I11" s="84"/>
      <c r="J11" s="84"/>
      <c r="K11" s="84"/>
      <c r="L11" s="84"/>
      <c r="M11" s="84"/>
      <c r="N11" s="84"/>
      <c r="P11" s="84"/>
      <c r="Q11" s="84"/>
      <c r="R11" s="84"/>
      <c r="S11" s="84"/>
      <c r="T11" s="84"/>
      <c r="U11" s="84"/>
    </row>
    <row r="12" spans="1:22">
      <c r="A12" s="55" t="s">
        <v>335</v>
      </c>
      <c r="B12" s="97">
        <v>66.8</v>
      </c>
      <c r="C12" s="97">
        <v>29.5</v>
      </c>
      <c r="D12" s="97">
        <v>20.6</v>
      </c>
      <c r="E12" s="97">
        <v>73.2</v>
      </c>
      <c r="F12" s="97">
        <v>80.7</v>
      </c>
      <c r="G12" s="97">
        <v>118.9</v>
      </c>
      <c r="H12" s="94"/>
      <c r="I12" s="76">
        <f t="shared" ref="I12:N12" si="4">ROUND(B12*1.154,1)</f>
        <v>77.099999999999994</v>
      </c>
      <c r="J12" s="76">
        <f t="shared" si="4"/>
        <v>34</v>
      </c>
      <c r="K12" s="76">
        <f t="shared" si="4"/>
        <v>23.8</v>
      </c>
      <c r="L12" s="76">
        <f t="shared" si="4"/>
        <v>84.5</v>
      </c>
      <c r="M12" s="76">
        <f t="shared" si="4"/>
        <v>93.1</v>
      </c>
      <c r="N12" s="76">
        <f t="shared" si="4"/>
        <v>137.19999999999999</v>
      </c>
      <c r="P12" s="76">
        <f>ROUND(B12*5.89,1)</f>
        <v>393.5</v>
      </c>
      <c r="Q12" s="76">
        <f>ROUND(C12*5.89,1)</f>
        <v>173.8</v>
      </c>
      <c r="R12" s="76">
        <f>ROUND(D12*5.89,1)</f>
        <v>121.3</v>
      </c>
      <c r="S12" s="76">
        <f>ROUND(E12*5.89,1)</f>
        <v>431.1</v>
      </c>
      <c r="T12" s="76">
        <f>ROUND(F12*5.89,1)</f>
        <v>475.3</v>
      </c>
      <c r="U12" s="76">
        <f>ROUNDUP(G12*5.89,1)</f>
        <v>700.4</v>
      </c>
    </row>
    <row r="13" spans="1:22">
      <c r="A13" s="55" t="s">
        <v>336</v>
      </c>
      <c r="B13" s="97">
        <v>81.3</v>
      </c>
      <c r="C13" s="97">
        <v>3.6</v>
      </c>
      <c r="D13" s="97">
        <v>1.8</v>
      </c>
      <c r="E13" s="97">
        <v>169.1</v>
      </c>
      <c r="F13" s="97">
        <v>72.599999999999994</v>
      </c>
      <c r="G13" s="97">
        <v>98.1</v>
      </c>
      <c r="H13" s="94"/>
      <c r="I13" s="76">
        <f t="shared" ref="I13:K14" si="5">ROUND(B13*1.154,1)</f>
        <v>93.8</v>
      </c>
      <c r="J13" s="76">
        <f t="shared" si="5"/>
        <v>4.2</v>
      </c>
      <c r="K13" s="76">
        <f t="shared" si="5"/>
        <v>2.1</v>
      </c>
      <c r="L13" s="85">
        <f>IF(ROUND(E13*1.154,1)&lt;&gt;L14-L12,L14-L12,ROUND(E13*1.154,1))</f>
        <v>195.1</v>
      </c>
      <c r="M13" s="76">
        <f>ROUND(F13*1.154,1)</f>
        <v>83.8</v>
      </c>
      <c r="N13" s="76">
        <f>ROUND(G13*1.154,1)</f>
        <v>113.2</v>
      </c>
      <c r="P13" s="85">
        <f>IF(ROUND(B13*5.89,1)&lt;&gt;P14-P12,P14-P12,ROUND(B13*5.89,1))</f>
        <v>478.79999999999995</v>
      </c>
      <c r="Q13" s="76">
        <f t="shared" ref="Q13:T14" si="6">ROUND(C13*5.89,1)</f>
        <v>21.2</v>
      </c>
      <c r="R13" s="76">
        <f t="shared" si="6"/>
        <v>10.6</v>
      </c>
      <c r="S13" s="76">
        <f t="shared" si="6"/>
        <v>996</v>
      </c>
      <c r="T13" s="76">
        <f t="shared" si="6"/>
        <v>427.6</v>
      </c>
      <c r="U13" s="76">
        <f>ROUNDDOWN(G13*5.89,1)</f>
        <v>577.79999999999995</v>
      </c>
    </row>
    <row r="14" spans="1:22" ht="13.8" thickBot="1">
      <c r="A14" s="61" t="s">
        <v>337</v>
      </c>
      <c r="B14" s="99">
        <v>148.1</v>
      </c>
      <c r="C14" s="99">
        <v>33.1</v>
      </c>
      <c r="D14" s="99">
        <v>22.4</v>
      </c>
      <c r="E14" s="99">
        <v>242.3</v>
      </c>
      <c r="F14" s="99">
        <v>153.30000000000001</v>
      </c>
      <c r="G14" s="99">
        <v>217</v>
      </c>
      <c r="H14" s="98"/>
      <c r="I14" s="76">
        <f t="shared" si="5"/>
        <v>170.9</v>
      </c>
      <c r="J14" s="95">
        <f t="shared" si="5"/>
        <v>38.200000000000003</v>
      </c>
      <c r="K14" s="95">
        <f>ROUNDUP(D14*1.154,1)</f>
        <v>25.900000000000002</v>
      </c>
      <c r="L14" s="95">
        <f>ROUND(E14*1.154,1)</f>
        <v>279.60000000000002</v>
      </c>
      <c r="M14" s="95">
        <f>ROUND(F14*1.154,1)</f>
        <v>176.9</v>
      </c>
      <c r="N14" s="95">
        <f>ROUND(G14*1.154,1)</f>
        <v>250.4</v>
      </c>
      <c r="P14" s="76">
        <f>ROUND(B14*5.89,1)</f>
        <v>872.3</v>
      </c>
      <c r="Q14" s="95">
        <f t="shared" si="6"/>
        <v>195</v>
      </c>
      <c r="R14" s="95">
        <f>ROUND(D14*5.89, 1)</f>
        <v>131.9</v>
      </c>
      <c r="S14" s="95">
        <f t="shared" si="6"/>
        <v>1427.1</v>
      </c>
      <c r="T14" s="95">
        <f t="shared" si="6"/>
        <v>902.9</v>
      </c>
      <c r="U14" s="95">
        <f>ROUNDUP(G14*5.89,1)</f>
        <v>1278.1999999999998</v>
      </c>
    </row>
    <row r="15" spans="1:22" ht="13.5" customHeight="1">
      <c r="A15" s="503" t="s">
        <v>576</v>
      </c>
      <c r="B15" s="502" t="s">
        <v>25</v>
      </c>
      <c r="C15" s="502"/>
      <c r="D15" s="502"/>
      <c r="E15" s="502"/>
      <c r="F15" s="502"/>
      <c r="G15" s="502"/>
      <c r="H15" s="94"/>
      <c r="I15" s="64"/>
      <c r="J15" s="64"/>
      <c r="K15" s="64"/>
      <c r="L15" s="64"/>
      <c r="M15" s="64"/>
      <c r="N15" s="64"/>
      <c r="P15" s="64"/>
      <c r="Q15" s="64"/>
      <c r="R15" s="64"/>
      <c r="S15" s="64"/>
      <c r="T15" s="64"/>
      <c r="U15" s="64"/>
    </row>
    <row r="16" spans="1:22" ht="12.75" customHeight="1" thickBot="1">
      <c r="A16" s="505"/>
      <c r="B16" s="101">
        <v>0.51</v>
      </c>
      <c r="C16" s="101">
        <v>0.51</v>
      </c>
      <c r="D16" s="101">
        <v>0.51</v>
      </c>
      <c r="E16" s="101">
        <v>0.51</v>
      </c>
      <c r="F16" s="102">
        <v>0.51</v>
      </c>
      <c r="G16" s="102">
        <v>0.51</v>
      </c>
      <c r="H16" s="94"/>
      <c r="I16" s="84"/>
      <c r="J16" s="84"/>
      <c r="K16" s="84"/>
      <c r="L16" s="84"/>
      <c r="M16" s="84"/>
      <c r="N16" s="84"/>
      <c r="P16" s="84"/>
      <c r="Q16" s="84"/>
      <c r="R16" s="84"/>
      <c r="S16" s="84"/>
      <c r="T16" s="84"/>
      <c r="U16" s="84"/>
    </row>
    <row r="17" spans="1:24">
      <c r="A17" s="55" t="s">
        <v>570</v>
      </c>
      <c r="B17" s="97">
        <v>270.60000000000002</v>
      </c>
      <c r="C17" s="97">
        <v>255.6</v>
      </c>
      <c r="D17" s="97">
        <v>233.1</v>
      </c>
      <c r="E17" s="97">
        <v>217.9</v>
      </c>
      <c r="F17" s="97">
        <v>206.4</v>
      </c>
      <c r="G17" s="97">
        <v>191.3</v>
      </c>
      <c r="H17" s="94"/>
      <c r="I17" s="76">
        <f t="shared" ref="I17:N19" si="7">ROUND(B17*1.154,1)</f>
        <v>312.3</v>
      </c>
      <c r="J17" s="76">
        <f t="shared" si="7"/>
        <v>295</v>
      </c>
      <c r="K17" s="76">
        <f t="shared" si="7"/>
        <v>269</v>
      </c>
      <c r="L17" s="76">
        <f t="shared" si="7"/>
        <v>251.5</v>
      </c>
      <c r="M17" s="76">
        <f t="shared" si="7"/>
        <v>238.2</v>
      </c>
      <c r="N17" s="76">
        <f t="shared" si="7"/>
        <v>220.8</v>
      </c>
      <c r="P17" s="76">
        <f>ROUND(B17*5.89,1)</f>
        <v>1593.8</v>
      </c>
      <c r="Q17" s="76">
        <f>ROUND(C17*5.89,1)</f>
        <v>1505.5</v>
      </c>
      <c r="R17" s="76">
        <f>ROUND(D17*5.89,1)</f>
        <v>1373</v>
      </c>
      <c r="S17" s="76">
        <f>ROUND(E17*5.89,1)</f>
        <v>1283.4000000000001</v>
      </c>
      <c r="T17" s="76">
        <f>ROUND(F17*5.89,1)</f>
        <v>1215.7</v>
      </c>
      <c r="U17" s="76">
        <f>ROUNDDOWN(G17*5.89,1)</f>
        <v>1126.7</v>
      </c>
    </row>
    <row r="18" spans="1:24">
      <c r="A18" s="55" t="s">
        <v>571</v>
      </c>
      <c r="B18" s="97">
        <v>4</v>
      </c>
      <c r="C18" s="97">
        <v>4</v>
      </c>
      <c r="D18" s="97">
        <v>3.9</v>
      </c>
      <c r="E18" s="97">
        <v>3.9</v>
      </c>
      <c r="F18" s="97">
        <v>3.9</v>
      </c>
      <c r="G18" s="97">
        <v>3.9</v>
      </c>
      <c r="H18" s="94"/>
      <c r="I18" s="76">
        <f t="shared" si="7"/>
        <v>4.5999999999999996</v>
      </c>
      <c r="J18" s="76">
        <f t="shared" si="7"/>
        <v>4.5999999999999996</v>
      </c>
      <c r="K18" s="76">
        <f t="shared" si="7"/>
        <v>4.5</v>
      </c>
      <c r="L18" s="76">
        <f t="shared" si="7"/>
        <v>4.5</v>
      </c>
      <c r="M18" s="76">
        <f t="shared" si="7"/>
        <v>4.5</v>
      </c>
      <c r="N18" s="76">
        <f t="shared" si="7"/>
        <v>4.5</v>
      </c>
      <c r="P18" s="76">
        <f>ROUND(B18*5.89,1)</f>
        <v>23.6</v>
      </c>
      <c r="Q18" s="85">
        <f>IF(ROUND(C18*5.89,1)&lt;&gt;Q19-Q17,Q19-Q17,ROUND(C18*5.89,1))</f>
        <v>23.5</v>
      </c>
      <c r="R18" s="85">
        <f>ROUNDDOWN(D18*5.89,1)</f>
        <v>22.9</v>
      </c>
      <c r="S18" s="76">
        <f t="shared" ref="S18:U19" si="8">ROUND(E18*5.89,1)</f>
        <v>23</v>
      </c>
      <c r="T18" s="76">
        <f t="shared" si="8"/>
        <v>23</v>
      </c>
      <c r="U18" s="76">
        <f t="shared" si="8"/>
        <v>23</v>
      </c>
      <c r="X18" s="17"/>
    </row>
    <row r="19" spans="1:24" ht="13.8" thickBot="1">
      <c r="A19" s="64" t="s">
        <v>572</v>
      </c>
      <c r="B19" s="98">
        <v>274.60000000000002</v>
      </c>
      <c r="C19" s="98">
        <v>259.60000000000002</v>
      </c>
      <c r="D19" s="98">
        <v>237</v>
      </c>
      <c r="E19" s="98">
        <v>221.8</v>
      </c>
      <c r="F19" s="98">
        <v>210.3</v>
      </c>
      <c r="G19" s="98">
        <v>195.2</v>
      </c>
      <c r="H19" s="98"/>
      <c r="I19" s="76">
        <f t="shared" si="7"/>
        <v>316.89999999999998</v>
      </c>
      <c r="J19" s="95">
        <f t="shared" si="7"/>
        <v>299.60000000000002</v>
      </c>
      <c r="K19" s="95">
        <f t="shared" si="7"/>
        <v>273.5</v>
      </c>
      <c r="L19" s="95">
        <f t="shared" si="7"/>
        <v>256</v>
      </c>
      <c r="M19" s="95">
        <f t="shared" si="7"/>
        <v>242.7</v>
      </c>
      <c r="N19" s="95">
        <f t="shared" si="7"/>
        <v>225.3</v>
      </c>
      <c r="P19" s="76">
        <f>ROUND(B19*5.89,1)</f>
        <v>1617.4</v>
      </c>
      <c r="Q19" s="95">
        <f>ROUND(C19*5.89,1)</f>
        <v>1529</v>
      </c>
      <c r="R19" s="95">
        <f>ROUND(D19*5.89, 1)</f>
        <v>1395.9</v>
      </c>
      <c r="S19" s="95">
        <f t="shared" si="8"/>
        <v>1306.4000000000001</v>
      </c>
      <c r="T19" s="95">
        <f t="shared" si="8"/>
        <v>1238.7</v>
      </c>
      <c r="U19" s="95">
        <f t="shared" si="8"/>
        <v>1149.7</v>
      </c>
    </row>
    <row r="20" spans="1:24" ht="13.5" customHeight="1">
      <c r="A20" s="503" t="s">
        <v>313</v>
      </c>
      <c r="B20" s="508" t="s">
        <v>25</v>
      </c>
      <c r="C20" s="508"/>
      <c r="D20" s="508"/>
      <c r="E20" s="508"/>
      <c r="F20" s="508"/>
      <c r="G20" s="508"/>
      <c r="H20" s="94"/>
      <c r="I20" s="64"/>
      <c r="J20" s="64"/>
      <c r="K20" s="64"/>
      <c r="L20" s="64"/>
      <c r="M20" s="64"/>
      <c r="N20" s="64"/>
      <c r="P20" s="64"/>
      <c r="Q20" s="64"/>
      <c r="R20" s="64"/>
      <c r="S20" s="64"/>
      <c r="T20" s="64"/>
      <c r="U20" s="64"/>
    </row>
    <row r="21" spans="1:24" ht="12.75" customHeight="1" thickBot="1">
      <c r="A21" s="505"/>
      <c r="B21" s="101">
        <v>1</v>
      </c>
      <c r="C21" s="101">
        <v>1</v>
      </c>
      <c r="D21" s="101">
        <v>0.65</v>
      </c>
      <c r="E21" s="101">
        <v>0.65</v>
      </c>
      <c r="F21" s="103">
        <v>0.50000999999999995</v>
      </c>
      <c r="G21" s="103">
        <v>0.50000999999999995</v>
      </c>
      <c r="H21" s="94"/>
      <c r="I21" s="84"/>
      <c r="J21" s="84"/>
      <c r="K21" s="84"/>
      <c r="L21" s="84"/>
      <c r="M21" s="84"/>
      <c r="N21" s="84"/>
      <c r="P21" s="84"/>
      <c r="Q21" s="84"/>
      <c r="R21" s="84"/>
      <c r="S21" s="84"/>
      <c r="T21" s="84"/>
      <c r="U21" s="84"/>
    </row>
    <row r="22" spans="1:24">
      <c r="A22" s="55" t="s">
        <v>570</v>
      </c>
      <c r="B22" s="104" t="s">
        <v>577</v>
      </c>
      <c r="C22" s="104" t="s">
        <v>577</v>
      </c>
      <c r="D22" s="97">
        <v>713.3</v>
      </c>
      <c r="E22" s="97">
        <v>699.9</v>
      </c>
      <c r="F22" s="97">
        <v>677.3</v>
      </c>
      <c r="G22" s="97">
        <v>651.70000000000005</v>
      </c>
      <c r="H22" s="94"/>
      <c r="I22" s="104" t="s">
        <v>577</v>
      </c>
      <c r="J22" s="104" t="s">
        <v>577</v>
      </c>
      <c r="K22" s="76">
        <f>ROUND(D22*1.154,1)</f>
        <v>823.1</v>
      </c>
      <c r="L22" s="76">
        <f>ROUNDDOWN(E22*1.154,1)</f>
        <v>807.6</v>
      </c>
      <c r="M22" s="76">
        <f t="shared" ref="M22:N24" si="9">ROUND(F22*1.154,1)</f>
        <v>781.6</v>
      </c>
      <c r="N22" s="76">
        <f>ROUNDDOWN(G22*1.154,1)</f>
        <v>752</v>
      </c>
      <c r="P22" s="104" t="s">
        <v>577</v>
      </c>
      <c r="Q22" s="104" t="s">
        <v>577</v>
      </c>
      <c r="R22" s="76">
        <f>ROUND(D22*5.89,1)</f>
        <v>4201.3</v>
      </c>
      <c r="S22" s="76">
        <f t="shared" ref="R22:U24" si="10">ROUND(E22*5.89,1)</f>
        <v>4122.3999999999996</v>
      </c>
      <c r="T22" s="76">
        <f t="shared" si="10"/>
        <v>3989.3</v>
      </c>
      <c r="U22" s="76">
        <f t="shared" si="10"/>
        <v>3838.5</v>
      </c>
    </row>
    <row r="23" spans="1:24">
      <c r="A23" s="55" t="s">
        <v>571</v>
      </c>
      <c r="B23" s="104" t="s">
        <v>577</v>
      </c>
      <c r="C23" s="104" t="s">
        <v>577</v>
      </c>
      <c r="D23" s="97">
        <v>6.4</v>
      </c>
      <c r="E23" s="97">
        <v>6.4</v>
      </c>
      <c r="F23" s="97">
        <v>6.4</v>
      </c>
      <c r="G23" s="97">
        <v>6.4</v>
      </c>
      <c r="H23" s="94"/>
      <c r="I23" s="104" t="s">
        <v>577</v>
      </c>
      <c r="J23" s="104" t="s">
        <v>577</v>
      </c>
      <c r="K23" s="76">
        <f>ROUND(D23*1.154,1)</f>
        <v>7.4</v>
      </c>
      <c r="L23" s="85">
        <f>ROUNDUP(E23*1.154, 1)</f>
        <v>7.3999999999999995</v>
      </c>
      <c r="M23" s="76">
        <f t="shared" si="9"/>
        <v>7.4</v>
      </c>
      <c r="N23" s="76">
        <f t="shared" si="9"/>
        <v>7.4</v>
      </c>
      <c r="P23" s="104" t="s">
        <v>577</v>
      </c>
      <c r="Q23" s="104" t="s">
        <v>577</v>
      </c>
      <c r="R23" s="85">
        <f>ROUND(D23*5.89,1)</f>
        <v>37.700000000000003</v>
      </c>
      <c r="S23" s="76">
        <f t="shared" si="10"/>
        <v>37.700000000000003</v>
      </c>
      <c r="T23" s="76">
        <f t="shared" si="10"/>
        <v>37.700000000000003</v>
      </c>
      <c r="U23" s="76">
        <f t="shared" si="10"/>
        <v>37.700000000000003</v>
      </c>
    </row>
    <row r="24" spans="1:24" ht="12.75" customHeight="1" thickBot="1">
      <c r="A24" s="61" t="s">
        <v>572</v>
      </c>
      <c r="B24" s="99" t="s">
        <v>577</v>
      </c>
      <c r="C24" s="99" t="s">
        <v>577</v>
      </c>
      <c r="D24" s="99">
        <v>719.7</v>
      </c>
      <c r="E24" s="99">
        <v>706.3</v>
      </c>
      <c r="F24" s="99">
        <v>683.7</v>
      </c>
      <c r="G24" s="99">
        <v>658.1</v>
      </c>
      <c r="H24" s="98"/>
      <c r="I24" s="99" t="s">
        <v>577</v>
      </c>
      <c r="J24" s="99" t="s">
        <v>577</v>
      </c>
      <c r="K24" s="99">
        <f>ROUND(D24*1.154,1)</f>
        <v>830.5</v>
      </c>
      <c r="L24" s="99">
        <f>-L9-L14-L19+L28</f>
        <v>815</v>
      </c>
      <c r="M24" s="99">
        <f t="shared" si="9"/>
        <v>789</v>
      </c>
      <c r="N24" s="99">
        <f t="shared" si="9"/>
        <v>759.4</v>
      </c>
      <c r="P24" s="99" t="s">
        <v>577</v>
      </c>
      <c r="Q24" s="99" t="s">
        <v>577</v>
      </c>
      <c r="R24" s="95">
        <f t="shared" si="10"/>
        <v>4239</v>
      </c>
      <c r="S24" s="95">
        <f t="shared" si="10"/>
        <v>4160.1000000000004</v>
      </c>
      <c r="T24" s="95">
        <f t="shared" si="10"/>
        <v>4027</v>
      </c>
      <c r="U24" s="95">
        <f t="shared" si="10"/>
        <v>3876.2</v>
      </c>
    </row>
    <row r="25" spans="1:24">
      <c r="A25" s="71" t="s">
        <v>580</v>
      </c>
      <c r="B25" s="94"/>
      <c r="C25" s="94"/>
      <c r="D25" s="94"/>
      <c r="E25" s="84"/>
      <c r="F25" s="84"/>
      <c r="G25" s="84"/>
      <c r="H25" s="94"/>
      <c r="I25" s="84"/>
      <c r="J25" s="84"/>
      <c r="K25" s="94"/>
      <c r="L25" s="94"/>
      <c r="M25" s="94"/>
      <c r="N25" s="94"/>
      <c r="P25" s="94"/>
      <c r="Q25" s="94"/>
      <c r="R25" s="94"/>
      <c r="S25" s="94"/>
      <c r="T25" s="94"/>
      <c r="U25" s="94"/>
    </row>
    <row r="26" spans="1:24">
      <c r="A26" s="55" t="s">
        <v>570</v>
      </c>
      <c r="B26" s="85">
        <v>16052.1</v>
      </c>
      <c r="C26" s="85">
        <v>18187.599999999999</v>
      </c>
      <c r="D26" s="85">
        <v>18286.5</v>
      </c>
      <c r="E26" s="85">
        <v>18187.8</v>
      </c>
      <c r="F26" s="85">
        <v>18609.900000000001</v>
      </c>
      <c r="G26" s="85">
        <v>18991.3</v>
      </c>
      <c r="H26" s="94"/>
      <c r="I26" s="76">
        <f>I7+I12+I17</f>
        <v>18524.199999999997</v>
      </c>
      <c r="J26" s="76">
        <f>J7+J12+J17</f>
        <v>20988.5</v>
      </c>
      <c r="K26" s="76">
        <f t="shared" ref="K26:N27" si="11">K7+K12+K17+K22</f>
        <v>21102.6</v>
      </c>
      <c r="L26" s="76">
        <f t="shared" si="11"/>
        <v>20988.699999999997</v>
      </c>
      <c r="M26" s="76">
        <f t="shared" si="11"/>
        <v>21475.8</v>
      </c>
      <c r="N26" s="76">
        <f t="shared" si="11"/>
        <v>21915.9</v>
      </c>
      <c r="P26" s="76">
        <f t="shared" ref="P26:Q28" si="12">ROUND(B26*5.89,1)</f>
        <v>94546.9</v>
      </c>
      <c r="Q26" s="76">
        <f t="shared" si="12"/>
        <v>107125</v>
      </c>
      <c r="R26" s="76">
        <f t="shared" ref="R26:U27" si="13">R7+R12+R17+R22</f>
        <v>107707.5</v>
      </c>
      <c r="S26" s="76">
        <f t="shared" si="13"/>
        <v>107126.09999999999</v>
      </c>
      <c r="T26" s="76">
        <f t="shared" si="13"/>
        <v>109612.3</v>
      </c>
      <c r="U26" s="76">
        <f t="shared" si="13"/>
        <v>111858.79999999999</v>
      </c>
    </row>
    <row r="27" spans="1:24">
      <c r="A27" s="55" t="s">
        <v>571</v>
      </c>
      <c r="B27" s="85">
        <v>4757.2</v>
      </c>
      <c r="C27" s="85">
        <v>2580</v>
      </c>
      <c r="D27" s="85">
        <v>2551.5</v>
      </c>
      <c r="E27" s="85">
        <v>3088.2</v>
      </c>
      <c r="F27" s="85">
        <v>3338.1</v>
      </c>
      <c r="G27" s="85">
        <v>3529</v>
      </c>
      <c r="H27" s="94"/>
      <c r="I27" s="76">
        <f>I8+I13+I18</f>
        <v>5489.7</v>
      </c>
      <c r="J27" s="76">
        <f>J8+J13+J18</f>
        <v>2977.2999999999997</v>
      </c>
      <c r="K27" s="76">
        <f t="shared" si="11"/>
        <v>2944.5</v>
      </c>
      <c r="L27" s="76">
        <f t="shared" si="11"/>
        <v>3563.8</v>
      </c>
      <c r="M27" s="76">
        <f t="shared" si="11"/>
        <v>3852.2000000000003</v>
      </c>
      <c r="N27" s="76">
        <f t="shared" si="11"/>
        <v>4072.5</v>
      </c>
      <c r="P27" s="76">
        <f t="shared" si="12"/>
        <v>28019.9</v>
      </c>
      <c r="Q27" s="76">
        <f t="shared" si="12"/>
        <v>15196.2</v>
      </c>
      <c r="R27" s="76">
        <f t="shared" si="13"/>
        <v>15028.300000000001</v>
      </c>
      <c r="S27" s="76">
        <f t="shared" si="13"/>
        <v>18189.5</v>
      </c>
      <c r="T27" s="76">
        <f t="shared" si="13"/>
        <v>19661.399999999998</v>
      </c>
      <c r="U27" s="76">
        <f t="shared" si="13"/>
        <v>20785.8</v>
      </c>
      <c r="V27" s="6"/>
    </row>
    <row r="28" spans="1:24" ht="13.8" thickBot="1">
      <c r="A28" s="105" t="s">
        <v>572</v>
      </c>
      <c r="B28" s="106">
        <v>20809.3</v>
      </c>
      <c r="C28" s="106">
        <v>20767.599999999999</v>
      </c>
      <c r="D28" s="106">
        <v>20838</v>
      </c>
      <c r="E28" s="106">
        <v>21276</v>
      </c>
      <c r="F28" s="106">
        <v>21948</v>
      </c>
      <c r="G28" s="106">
        <v>22520.3</v>
      </c>
      <c r="H28" s="76"/>
      <c r="I28" s="106">
        <f t="shared" ref="I28:N28" si="14">ROUND(B28*1.154,1)</f>
        <v>24013.9</v>
      </c>
      <c r="J28" s="106">
        <f t="shared" si="14"/>
        <v>23965.8</v>
      </c>
      <c r="K28" s="106">
        <f t="shared" si="14"/>
        <v>24047.1</v>
      </c>
      <c r="L28" s="106">
        <f t="shared" si="14"/>
        <v>24552.5</v>
      </c>
      <c r="M28" s="106">
        <f t="shared" si="14"/>
        <v>25328</v>
      </c>
      <c r="N28" s="106">
        <f t="shared" si="14"/>
        <v>25988.400000000001</v>
      </c>
      <c r="P28" s="106">
        <f t="shared" si="12"/>
        <v>122566.8</v>
      </c>
      <c r="Q28" s="106">
        <f t="shared" si="12"/>
        <v>122321.2</v>
      </c>
      <c r="R28" s="106">
        <f>ROUND(D28*5.89, 1)</f>
        <v>122735.8</v>
      </c>
      <c r="S28" s="106">
        <f>ROUND(E28*5.89,1)</f>
        <v>125315.6</v>
      </c>
      <c r="T28" s="106">
        <f>ROUND(F28*5.89,1)</f>
        <v>129273.7</v>
      </c>
      <c r="U28" s="106">
        <f>ROUND(G28*5.89,1)</f>
        <v>132644.6</v>
      </c>
    </row>
    <row r="29" spans="1:24" ht="13.8" thickTop="1">
      <c r="A29" s="494" t="s">
        <v>382</v>
      </c>
      <c r="B29" s="494"/>
      <c r="C29" s="494"/>
      <c r="D29" s="494"/>
      <c r="E29" s="494"/>
      <c r="F29" s="494"/>
      <c r="G29" s="494"/>
      <c r="H29" s="494"/>
      <c r="I29" s="494"/>
      <c r="J29" s="494"/>
      <c r="K29" s="494"/>
      <c r="L29" s="494"/>
      <c r="M29" s="494"/>
      <c r="N29" s="494"/>
      <c r="O29" s="494"/>
      <c r="P29" s="494"/>
      <c r="Q29" s="494"/>
      <c r="R29" s="494"/>
      <c r="S29" s="494"/>
      <c r="T29" s="494"/>
      <c r="U29" s="494"/>
    </row>
    <row r="30" spans="1:24">
      <c r="A30" s="494" t="s">
        <v>314</v>
      </c>
      <c r="B30" s="494"/>
      <c r="C30" s="494"/>
      <c r="D30" s="494"/>
      <c r="E30" s="494"/>
      <c r="F30" s="494"/>
      <c r="G30" s="494"/>
      <c r="H30" s="494"/>
      <c r="I30" s="494"/>
      <c r="J30" s="494"/>
      <c r="K30" s="494"/>
      <c r="L30" s="494"/>
      <c r="M30" s="494"/>
      <c r="N30" s="494"/>
      <c r="O30" s="494"/>
      <c r="P30" s="494"/>
      <c r="Q30" s="494"/>
      <c r="R30" s="494"/>
      <c r="S30" s="494"/>
      <c r="T30" s="494"/>
      <c r="U30" s="494"/>
    </row>
    <row r="31" spans="1:24">
      <c r="A31" s="506" t="s">
        <v>312</v>
      </c>
      <c r="B31" s="506"/>
      <c r="C31" s="506"/>
      <c r="D31" s="506"/>
      <c r="E31" s="506"/>
      <c r="F31" s="506"/>
      <c r="G31" s="506"/>
      <c r="H31" s="506"/>
      <c r="I31" s="506"/>
      <c r="J31" s="506"/>
      <c r="K31" s="506"/>
      <c r="L31" s="506"/>
      <c r="M31" s="506"/>
      <c r="N31" s="506"/>
      <c r="O31" s="506"/>
      <c r="P31" s="506"/>
      <c r="Q31" s="506"/>
      <c r="R31" s="506"/>
      <c r="S31" s="506"/>
      <c r="T31" s="506"/>
      <c r="U31" s="506"/>
    </row>
    <row r="32" spans="1:24">
      <c r="A32" s="107"/>
      <c r="B32" s="28"/>
      <c r="C32" s="28"/>
      <c r="D32" s="28"/>
      <c r="E32" s="28"/>
      <c r="F32" s="28"/>
      <c r="G32" s="28"/>
      <c r="H32" s="29"/>
      <c r="I32" s="28"/>
      <c r="J32" s="28"/>
      <c r="K32" s="28"/>
      <c r="L32" s="28"/>
      <c r="M32" s="28"/>
      <c r="N32" s="28"/>
      <c r="O32" s="457"/>
      <c r="P32" s="28"/>
      <c r="Q32" s="28"/>
      <c r="R32" s="28"/>
      <c r="S32" s="28"/>
      <c r="T32" s="28"/>
      <c r="U32" s="28"/>
    </row>
    <row r="33" spans="1:121" ht="12.75" customHeight="1">
      <c r="A33" s="51" t="s">
        <v>26</v>
      </c>
      <c r="B33" s="28"/>
      <c r="C33" s="28"/>
      <c r="D33" s="28"/>
      <c r="E33" s="28"/>
      <c r="F33" s="28"/>
      <c r="G33" s="28"/>
      <c r="H33" s="29"/>
      <c r="I33" s="28"/>
      <c r="J33" s="28"/>
      <c r="K33" s="28"/>
      <c r="L33" s="28"/>
      <c r="M33" s="28"/>
      <c r="N33" s="28"/>
      <c r="O33" s="457"/>
      <c r="P33" s="28"/>
      <c r="Q33" s="28"/>
      <c r="R33" s="28"/>
      <c r="S33" s="28"/>
      <c r="T33" s="28"/>
      <c r="U33" s="28"/>
    </row>
    <row r="34" spans="1:121" ht="12.75" customHeight="1">
      <c r="A34" s="108"/>
      <c r="B34" s="488" t="s">
        <v>569</v>
      </c>
      <c r="C34" s="488"/>
      <c r="D34" s="488"/>
      <c r="E34" s="488"/>
      <c r="F34" s="488"/>
      <c r="G34" s="488"/>
      <c r="H34" s="92"/>
      <c r="I34" s="488" t="s">
        <v>569</v>
      </c>
      <c r="J34" s="488"/>
      <c r="K34" s="488"/>
      <c r="L34" s="488"/>
      <c r="M34" s="488"/>
      <c r="N34" s="488"/>
      <c r="P34" s="30"/>
      <c r="Q34" s="488" t="s">
        <v>569</v>
      </c>
      <c r="R34" s="488"/>
      <c r="S34" s="488"/>
      <c r="T34" s="488"/>
      <c r="U34" s="488"/>
    </row>
    <row r="35" spans="1:121" ht="12.75" customHeight="1">
      <c r="A35" s="108"/>
      <c r="B35" s="32">
        <v>2005</v>
      </c>
      <c r="C35" s="32">
        <v>2006</v>
      </c>
      <c r="D35" s="32">
        <v>2007</v>
      </c>
      <c r="E35" s="32">
        <v>2008</v>
      </c>
      <c r="F35" s="32">
        <v>2009</v>
      </c>
      <c r="G35" s="32">
        <v>2010</v>
      </c>
      <c r="H35" s="33"/>
      <c r="I35" s="32">
        <v>2005</v>
      </c>
      <c r="J35" s="32">
        <v>2006</v>
      </c>
      <c r="K35" s="32">
        <v>2007</v>
      </c>
      <c r="L35" s="32">
        <v>2008</v>
      </c>
      <c r="M35" s="32">
        <v>2009</v>
      </c>
      <c r="N35" s="32">
        <v>2010</v>
      </c>
      <c r="O35" s="458">
        <v>2005</v>
      </c>
      <c r="P35" s="32"/>
      <c r="Q35" s="32">
        <v>2006</v>
      </c>
      <c r="R35" s="32">
        <v>2007</v>
      </c>
      <c r="S35" s="32">
        <v>2008</v>
      </c>
      <c r="T35" s="32">
        <v>2009</v>
      </c>
      <c r="U35" s="32">
        <v>2010</v>
      </c>
    </row>
    <row r="36" spans="1:121" ht="12.75" customHeight="1">
      <c r="A36" s="109"/>
      <c r="B36" s="488" t="s">
        <v>573</v>
      </c>
      <c r="C36" s="488"/>
      <c r="D36" s="488"/>
      <c r="E36" s="488"/>
      <c r="F36" s="488"/>
      <c r="G36" s="488"/>
      <c r="H36" s="31"/>
      <c r="I36" s="488" t="s">
        <v>41</v>
      </c>
      <c r="J36" s="488"/>
      <c r="K36" s="488"/>
      <c r="L36" s="488"/>
      <c r="M36" s="488"/>
      <c r="N36" s="488"/>
      <c r="P36" s="30"/>
      <c r="Q36" s="488" t="s">
        <v>40</v>
      </c>
      <c r="R36" s="488"/>
      <c r="S36" s="488"/>
      <c r="T36" s="488"/>
      <c r="U36" s="488"/>
    </row>
    <row r="37" spans="1:121" ht="19.5" customHeight="1">
      <c r="A37" s="505" t="s">
        <v>383</v>
      </c>
      <c r="B37" s="504"/>
      <c r="C37" s="504"/>
      <c r="D37" s="504"/>
      <c r="E37" s="504"/>
      <c r="F37" s="504"/>
      <c r="G37" s="84"/>
      <c r="H37" s="94"/>
      <c r="I37" s="84"/>
      <c r="J37" s="84"/>
      <c r="K37" s="84"/>
      <c r="L37" s="84"/>
      <c r="M37" s="84"/>
      <c r="N37" s="84"/>
      <c r="O37" s="459"/>
      <c r="P37" s="84"/>
      <c r="Q37" s="84"/>
      <c r="R37" s="84"/>
      <c r="S37" s="84"/>
      <c r="T37" s="84"/>
      <c r="U37" s="84"/>
    </row>
    <row r="38" spans="1:121">
      <c r="A38" s="505"/>
      <c r="B38" s="504"/>
      <c r="C38" s="504"/>
      <c r="D38" s="504"/>
      <c r="E38" s="504"/>
      <c r="F38" s="504"/>
      <c r="G38" s="84"/>
      <c r="H38" s="94"/>
      <c r="I38" s="84"/>
      <c r="J38" s="84"/>
      <c r="K38" s="84"/>
      <c r="L38" s="84"/>
      <c r="M38" s="84"/>
      <c r="N38" s="84"/>
      <c r="O38" s="459"/>
      <c r="P38" s="84"/>
      <c r="Q38" s="84"/>
      <c r="R38" s="84"/>
      <c r="S38" s="84"/>
      <c r="T38" s="84"/>
      <c r="U38" s="84"/>
    </row>
    <row r="39" spans="1:121" s="4" customFormat="1">
      <c r="A39" s="55" t="s">
        <v>570</v>
      </c>
      <c r="B39" s="74">
        <v>507.9</v>
      </c>
      <c r="C39" s="74">
        <v>528.9</v>
      </c>
      <c r="D39" s="74">
        <v>568.9</v>
      </c>
      <c r="E39" s="74">
        <v>587.9</v>
      </c>
      <c r="F39" s="74">
        <v>586</v>
      </c>
      <c r="G39" s="74">
        <v>572.1</v>
      </c>
      <c r="H39" s="94"/>
      <c r="I39" s="74">
        <f t="shared" ref="I39:N39" si="15">ROUND(B39*1.43,1)</f>
        <v>726.3</v>
      </c>
      <c r="J39" s="74">
        <f t="shared" si="15"/>
        <v>756.3</v>
      </c>
      <c r="K39" s="74">
        <f t="shared" si="15"/>
        <v>813.5</v>
      </c>
      <c r="L39" s="74">
        <f t="shared" si="15"/>
        <v>840.7</v>
      </c>
      <c r="M39" s="74">
        <f t="shared" si="15"/>
        <v>838</v>
      </c>
      <c r="N39" s="74">
        <f t="shared" si="15"/>
        <v>818.1</v>
      </c>
      <c r="O39" s="460">
        <f>ROUND(B39*8.18,1)</f>
        <v>4154.6000000000004</v>
      </c>
      <c r="P39" s="74"/>
      <c r="Q39" s="74">
        <f>ROUND(C39*8.18,1)</f>
        <v>4326.3999999999996</v>
      </c>
      <c r="R39" s="74">
        <f>ROUND(D39*8.18,1)</f>
        <v>4653.6000000000004</v>
      </c>
      <c r="S39" s="74">
        <f>ROUND(E39*8.18,1)</f>
        <v>4809</v>
      </c>
      <c r="T39" s="74">
        <f>ROUND(F39*8.18,1)</f>
        <v>4793.5</v>
      </c>
      <c r="U39" s="74">
        <f>ROUND(G39*8.18,1)</f>
        <v>4679.8</v>
      </c>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row>
    <row r="40" spans="1:121" s="4" customFormat="1">
      <c r="A40" s="55" t="s">
        <v>571</v>
      </c>
      <c r="B40" s="74">
        <v>184.7</v>
      </c>
      <c r="C40" s="74">
        <v>130.1</v>
      </c>
      <c r="D40" s="74">
        <v>117.2</v>
      </c>
      <c r="E40" s="74">
        <v>141.9</v>
      </c>
      <c r="F40" s="74">
        <v>141.19999999999999</v>
      </c>
      <c r="G40" s="74">
        <v>147.19999999999999</v>
      </c>
      <c r="H40" s="94"/>
      <c r="I40" s="74">
        <f t="shared" ref="I40:I45" si="16">ROUND(B40*1.43,1)</f>
        <v>264.10000000000002</v>
      </c>
      <c r="J40" s="85">
        <f>IF(ROUND(C40*1.43,1)&lt;&gt;J41-J39,J41-J39,ROUND(C40*1.43,1))</f>
        <v>186.10000000000002</v>
      </c>
      <c r="K40" s="74">
        <f t="shared" ref="K40:K45" si="17">ROUND(D40*1.43,1)</f>
        <v>167.6</v>
      </c>
      <c r="L40" s="74">
        <f t="shared" ref="L40:L45" si="18">ROUND(E40*1.43,1)</f>
        <v>202.9</v>
      </c>
      <c r="M40" s="74">
        <f>ROUND(F40*1.43,1)</f>
        <v>201.9</v>
      </c>
      <c r="N40" s="74">
        <f>ROUND(G40*1.43,1)</f>
        <v>210.5</v>
      </c>
      <c r="O40" s="461">
        <f>IF(ROUND(B40*8.18,1)&lt;&gt;O41-O39,O41-O39,ROUND(B40*8.18,1))</f>
        <v>1510.8999999999996</v>
      </c>
      <c r="P40" s="85"/>
      <c r="Q40" s="85">
        <f>ROUND(C40*8.18,1)</f>
        <v>1064.2</v>
      </c>
      <c r="R40" s="74">
        <f>ROUND(D40*8.18,1)</f>
        <v>958.7</v>
      </c>
      <c r="S40" s="85">
        <f>IF(ROUND(E40*8.18,1)&lt;&gt;S41-S39,S41-S39,ROUND(E40*8.18,1))</f>
        <v>1160.8000000000002</v>
      </c>
      <c r="T40" s="74">
        <f>ROUND(F40*8.18,1)</f>
        <v>1155</v>
      </c>
      <c r="U40" s="74">
        <f>ROUND(G40*8.18,1)</f>
        <v>1204.0999999999999</v>
      </c>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row>
    <row r="41" spans="1:121" s="4" customFormat="1" ht="13.8" thickBot="1">
      <c r="A41" s="61" t="s">
        <v>572</v>
      </c>
      <c r="B41" s="95">
        <v>692.6</v>
      </c>
      <c r="C41" s="95">
        <v>659</v>
      </c>
      <c r="D41" s="95">
        <v>686.1</v>
      </c>
      <c r="E41" s="95">
        <v>729.8</v>
      </c>
      <c r="F41" s="95">
        <v>727.2</v>
      </c>
      <c r="G41" s="95">
        <f>G39+G40</f>
        <v>719.3</v>
      </c>
      <c r="H41" s="76"/>
      <c r="I41" s="95">
        <f t="shared" si="16"/>
        <v>990.4</v>
      </c>
      <c r="J41" s="95">
        <f>ROUND(C41*1.43,1)</f>
        <v>942.4</v>
      </c>
      <c r="K41" s="95">
        <f t="shared" si="17"/>
        <v>981.1</v>
      </c>
      <c r="L41" s="95">
        <f t="shared" si="18"/>
        <v>1043.5999999999999</v>
      </c>
      <c r="M41" s="95">
        <f>ROUND(F41*1.43,1)</f>
        <v>1039.9000000000001</v>
      </c>
      <c r="N41" s="95">
        <f>ROUND(G41*1.43,1)</f>
        <v>1028.5999999999999</v>
      </c>
      <c r="O41" s="462">
        <f>ROUND(B41*8.18,1)</f>
        <v>5665.5</v>
      </c>
      <c r="P41" s="95"/>
      <c r="Q41" s="95">
        <f>ROUND(C41*8.18,1)</f>
        <v>5390.6</v>
      </c>
      <c r="R41" s="95">
        <f>ROUND(D41*8.18,1)</f>
        <v>5612.3</v>
      </c>
      <c r="S41" s="95">
        <f>ROUND(E41*8.18,1)</f>
        <v>5969.8</v>
      </c>
      <c r="T41" s="95">
        <f>ROUND(F41*8.18,1)</f>
        <v>5948.5</v>
      </c>
      <c r="U41" s="95">
        <f>ROUND(G41*8.18,1)</f>
        <v>5883.9</v>
      </c>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row>
    <row r="42" spans="1:121">
      <c r="A42" s="71" t="s">
        <v>580</v>
      </c>
      <c r="B42" s="76"/>
      <c r="C42" s="76"/>
      <c r="D42" s="76"/>
      <c r="E42" s="76"/>
      <c r="F42" s="76"/>
      <c r="G42" s="76"/>
      <c r="H42" s="76"/>
      <c r="I42" s="76"/>
      <c r="J42" s="76"/>
      <c r="K42" s="76"/>
      <c r="L42" s="76"/>
      <c r="M42" s="76"/>
      <c r="N42" s="76"/>
      <c r="O42" s="463"/>
      <c r="P42" s="76"/>
      <c r="Q42" s="76"/>
      <c r="R42" s="76"/>
      <c r="S42" s="76"/>
      <c r="T42" s="76"/>
      <c r="U42" s="76"/>
    </row>
    <row r="43" spans="1:121">
      <c r="A43" s="55" t="s">
        <v>570</v>
      </c>
      <c r="B43" s="85">
        <v>507.9</v>
      </c>
      <c r="C43" s="85">
        <v>528.9</v>
      </c>
      <c r="D43" s="85">
        <v>568.9</v>
      </c>
      <c r="E43" s="85">
        <v>587.9</v>
      </c>
      <c r="F43" s="85">
        <v>586</v>
      </c>
      <c r="G43" s="85">
        <f>G39</f>
        <v>572.1</v>
      </c>
      <c r="H43" s="76"/>
      <c r="I43" s="76">
        <f>I39</f>
        <v>726.3</v>
      </c>
      <c r="J43" s="76">
        <f>J39</f>
        <v>756.3</v>
      </c>
      <c r="K43" s="76">
        <f t="shared" ref="K43:M44" si="19">K39</f>
        <v>813.5</v>
      </c>
      <c r="L43" s="76">
        <f t="shared" si="19"/>
        <v>840.7</v>
      </c>
      <c r="M43" s="76">
        <f t="shared" si="19"/>
        <v>838</v>
      </c>
      <c r="N43" s="76">
        <f>N39</f>
        <v>818.1</v>
      </c>
      <c r="O43" s="463">
        <f t="shared" ref="O43:U44" si="20">O39</f>
        <v>4154.6000000000004</v>
      </c>
      <c r="P43" s="76"/>
      <c r="Q43" s="76">
        <f t="shared" si="20"/>
        <v>4326.3999999999996</v>
      </c>
      <c r="R43" s="76">
        <f t="shared" si="20"/>
        <v>4653.6000000000004</v>
      </c>
      <c r="S43" s="76">
        <f t="shared" si="20"/>
        <v>4809</v>
      </c>
      <c r="T43" s="76">
        <f t="shared" si="20"/>
        <v>4793.5</v>
      </c>
      <c r="U43" s="76">
        <f t="shared" si="20"/>
        <v>4679.8</v>
      </c>
    </row>
    <row r="44" spans="1:121">
      <c r="A44" s="55" t="s">
        <v>571</v>
      </c>
      <c r="B44" s="85">
        <v>184.7</v>
      </c>
      <c r="C44" s="85">
        <v>130.1</v>
      </c>
      <c r="D44" s="85">
        <v>117.2</v>
      </c>
      <c r="E44" s="85">
        <v>141.9</v>
      </c>
      <c r="F44" s="85">
        <v>141.19999999999999</v>
      </c>
      <c r="G44" s="85">
        <f>G40</f>
        <v>147.19999999999999</v>
      </c>
      <c r="H44" s="94"/>
      <c r="I44" s="76">
        <f>I40</f>
        <v>264.10000000000002</v>
      </c>
      <c r="J44" s="76">
        <f>J40</f>
        <v>186.10000000000002</v>
      </c>
      <c r="K44" s="76">
        <f t="shared" si="19"/>
        <v>167.6</v>
      </c>
      <c r="L44" s="76">
        <f t="shared" si="19"/>
        <v>202.9</v>
      </c>
      <c r="M44" s="76">
        <f t="shared" si="19"/>
        <v>201.9</v>
      </c>
      <c r="N44" s="76">
        <f>N40</f>
        <v>210.5</v>
      </c>
      <c r="O44" s="463">
        <f t="shared" si="20"/>
        <v>1510.8999999999996</v>
      </c>
      <c r="P44" s="76"/>
      <c r="Q44" s="76">
        <f t="shared" si="20"/>
        <v>1064.2</v>
      </c>
      <c r="R44" s="76">
        <f t="shared" si="20"/>
        <v>958.7</v>
      </c>
      <c r="S44" s="76">
        <f t="shared" si="20"/>
        <v>1160.8000000000002</v>
      </c>
      <c r="T44" s="76">
        <f t="shared" si="20"/>
        <v>1155</v>
      </c>
      <c r="U44" s="76">
        <f t="shared" si="20"/>
        <v>1204.0999999999999</v>
      </c>
    </row>
    <row r="45" spans="1:121" ht="13.8" thickBot="1">
      <c r="A45" s="105" t="s">
        <v>572</v>
      </c>
      <c r="B45" s="106">
        <v>692.6</v>
      </c>
      <c r="C45" s="106">
        <v>659</v>
      </c>
      <c r="D45" s="106">
        <v>686.1</v>
      </c>
      <c r="E45" s="106">
        <v>729.8</v>
      </c>
      <c r="F45" s="106">
        <v>727.2</v>
      </c>
      <c r="G45" s="106">
        <f>G43+G44</f>
        <v>719.3</v>
      </c>
      <c r="H45" s="94"/>
      <c r="I45" s="106">
        <f t="shared" si="16"/>
        <v>990.4</v>
      </c>
      <c r="J45" s="106">
        <f>ROUND(C45*1.43,1)</f>
        <v>942.4</v>
      </c>
      <c r="K45" s="106">
        <f t="shared" si="17"/>
        <v>981.1</v>
      </c>
      <c r="L45" s="106">
        <f t="shared" si="18"/>
        <v>1043.5999999999999</v>
      </c>
      <c r="M45" s="106">
        <f>ROUND(F45*1.43,1)</f>
        <v>1039.9000000000001</v>
      </c>
      <c r="N45" s="106">
        <f>ROUND(G45*1.43,1)</f>
        <v>1028.5999999999999</v>
      </c>
      <c r="O45" s="464">
        <f>ROUND(B45*8.18,1)</f>
        <v>5665.5</v>
      </c>
      <c r="P45" s="106"/>
      <c r="Q45" s="106">
        <f>ROUND(C45*8.18,1)</f>
        <v>5390.6</v>
      </c>
      <c r="R45" s="106">
        <f>ROUND(D45*8.18,1)</f>
        <v>5612.3</v>
      </c>
      <c r="S45" s="106">
        <f>ROUND(E45*8.18,1)</f>
        <v>5969.8</v>
      </c>
      <c r="T45" s="106">
        <f>ROUND(F45*8.18,1)</f>
        <v>5948.5</v>
      </c>
      <c r="U45" s="106">
        <f>ROUND(G45*8.18,1)</f>
        <v>5883.9</v>
      </c>
    </row>
    <row r="46" spans="1:121" ht="13.8" thickTop="1">
      <c r="A46" s="506" t="s">
        <v>382</v>
      </c>
      <c r="B46" s="506"/>
      <c r="C46" s="506"/>
      <c r="D46" s="506"/>
      <c r="E46" s="506"/>
      <c r="F46" s="506"/>
      <c r="G46" s="506"/>
      <c r="H46" s="506"/>
      <c r="I46" s="506"/>
      <c r="J46" s="506"/>
      <c r="K46" s="506"/>
      <c r="L46" s="506"/>
      <c r="M46" s="506"/>
      <c r="N46" s="506"/>
      <c r="O46" s="506"/>
      <c r="P46" s="506"/>
      <c r="Q46" s="506"/>
      <c r="R46" s="506"/>
      <c r="S46" s="506"/>
      <c r="T46" s="506"/>
      <c r="U46" s="506"/>
    </row>
    <row r="47" spans="1:121">
      <c r="A47" s="29"/>
      <c r="B47" s="29"/>
      <c r="C47" s="29"/>
      <c r="D47" s="29"/>
      <c r="E47" s="29"/>
      <c r="F47" s="29"/>
      <c r="G47" s="29"/>
      <c r="H47" s="29"/>
      <c r="I47" s="29"/>
      <c r="J47" s="29"/>
      <c r="K47" s="29"/>
      <c r="L47" s="29"/>
      <c r="M47" s="29"/>
      <c r="N47" s="29"/>
      <c r="O47" s="465"/>
      <c r="P47" s="29"/>
      <c r="Q47" s="29"/>
      <c r="R47" s="29"/>
      <c r="S47" s="29"/>
      <c r="T47" s="29"/>
      <c r="U47" s="29"/>
    </row>
    <row r="48" spans="1:121" ht="15.6">
      <c r="A48" s="51" t="s">
        <v>28</v>
      </c>
      <c r="B48" s="28"/>
      <c r="C48" s="28"/>
      <c r="D48" s="28"/>
      <c r="E48" s="28"/>
      <c r="F48" s="28"/>
      <c r="G48" s="28"/>
      <c r="H48" s="29"/>
      <c r="I48" s="28"/>
      <c r="J48" s="28"/>
      <c r="K48" s="28"/>
      <c r="L48" s="28"/>
      <c r="M48" s="28"/>
      <c r="N48" s="28"/>
      <c r="O48" s="457"/>
      <c r="P48" s="28"/>
      <c r="Q48" s="28"/>
      <c r="R48" s="28"/>
      <c r="S48" s="28"/>
      <c r="T48" s="28"/>
      <c r="U48" s="28"/>
    </row>
    <row r="49" spans="1:121" ht="12.75" customHeight="1">
      <c r="A49" s="108"/>
      <c r="B49" s="488" t="s">
        <v>569</v>
      </c>
      <c r="C49" s="488"/>
      <c r="D49" s="488"/>
      <c r="E49" s="488"/>
      <c r="F49" s="488"/>
      <c r="G49" s="24"/>
      <c r="H49" s="92"/>
      <c r="I49" s="488" t="s">
        <v>569</v>
      </c>
      <c r="J49" s="488"/>
      <c r="K49" s="488"/>
      <c r="L49" s="488"/>
      <c r="M49" s="488"/>
      <c r="N49" s="24"/>
      <c r="O49" s="457"/>
      <c r="P49" s="30"/>
      <c r="Q49" s="488" t="s">
        <v>569</v>
      </c>
      <c r="R49" s="488"/>
      <c r="S49" s="488"/>
      <c r="T49" s="488"/>
      <c r="U49" s="488"/>
    </row>
    <row r="50" spans="1:121">
      <c r="A50" s="108"/>
      <c r="B50" s="32">
        <v>2005</v>
      </c>
      <c r="C50" s="32">
        <v>2006</v>
      </c>
      <c r="D50" s="32">
        <v>2007</v>
      </c>
      <c r="E50" s="32">
        <v>2008</v>
      </c>
      <c r="F50" s="32">
        <v>2009</v>
      </c>
      <c r="G50" s="32">
        <v>2010</v>
      </c>
      <c r="H50" s="33"/>
      <c r="I50" s="32">
        <v>2005</v>
      </c>
      <c r="J50" s="32">
        <v>2006</v>
      </c>
      <c r="K50" s="32">
        <v>2007</v>
      </c>
      <c r="L50" s="32">
        <v>2008</v>
      </c>
      <c r="M50" s="32">
        <v>2009</v>
      </c>
      <c r="N50" s="32">
        <v>2010</v>
      </c>
      <c r="O50" s="457">
        <v>2005</v>
      </c>
      <c r="P50" s="32"/>
      <c r="Q50" s="32">
        <v>2006</v>
      </c>
      <c r="R50" s="32">
        <v>2007</v>
      </c>
      <c r="S50" s="32">
        <v>2008</v>
      </c>
      <c r="T50" s="32">
        <v>2009</v>
      </c>
      <c r="U50" s="32">
        <v>2010</v>
      </c>
    </row>
    <row r="51" spans="1:121" ht="12.75" customHeight="1">
      <c r="A51" s="109"/>
      <c r="B51" s="488" t="s">
        <v>574</v>
      </c>
      <c r="C51" s="488"/>
      <c r="D51" s="488"/>
      <c r="E51" s="488"/>
      <c r="F51" s="488"/>
      <c r="G51" s="488"/>
      <c r="H51" s="31"/>
      <c r="I51" s="488" t="s">
        <v>568</v>
      </c>
      <c r="J51" s="488"/>
      <c r="K51" s="488"/>
      <c r="L51" s="488"/>
      <c r="M51" s="488"/>
      <c r="N51" s="488"/>
      <c r="O51" s="457"/>
      <c r="P51" s="30"/>
      <c r="Q51" s="488" t="s">
        <v>496</v>
      </c>
      <c r="R51" s="488"/>
      <c r="S51" s="488"/>
      <c r="T51" s="488"/>
      <c r="U51" s="488"/>
    </row>
    <row r="52" spans="1:121" ht="19.5" customHeight="1">
      <c r="A52" s="505" t="s">
        <v>383</v>
      </c>
      <c r="B52" s="504"/>
      <c r="C52" s="504"/>
      <c r="D52" s="504"/>
      <c r="E52" s="504"/>
      <c r="F52" s="504"/>
      <c r="G52" s="84"/>
      <c r="H52" s="94"/>
      <c r="I52" s="84"/>
      <c r="J52" s="84"/>
      <c r="K52" s="84"/>
      <c r="L52" s="84"/>
      <c r="M52" s="84"/>
      <c r="N52" s="84"/>
      <c r="O52" s="459"/>
      <c r="P52" s="84"/>
      <c r="Q52" s="84"/>
      <c r="R52" s="84"/>
      <c r="S52" s="84"/>
      <c r="T52" s="84"/>
      <c r="U52" s="84"/>
    </row>
    <row r="53" spans="1:121">
      <c r="A53" s="505"/>
      <c r="B53" s="500"/>
      <c r="C53" s="500"/>
      <c r="D53" s="500"/>
      <c r="E53" s="500"/>
      <c r="F53" s="500"/>
      <c r="G53" s="110"/>
      <c r="H53" s="94"/>
      <c r="I53" s="84"/>
      <c r="J53" s="84"/>
      <c r="K53" s="84"/>
      <c r="L53" s="84"/>
      <c r="M53" s="84"/>
      <c r="N53" s="84"/>
      <c r="O53" s="459"/>
      <c r="P53" s="84"/>
      <c r="Q53" s="84"/>
      <c r="R53" s="84"/>
      <c r="S53" s="84"/>
      <c r="T53" s="84"/>
      <c r="U53" s="84"/>
    </row>
    <row r="54" spans="1:121" s="4" customFormat="1">
      <c r="A54" s="55" t="s">
        <v>570</v>
      </c>
      <c r="B54" s="85">
        <v>67.3</v>
      </c>
      <c r="C54" s="85">
        <v>87.1</v>
      </c>
      <c r="D54" s="85">
        <v>76.900000000000006</v>
      </c>
      <c r="E54" s="85">
        <v>97.6</v>
      </c>
      <c r="F54" s="85">
        <v>93</v>
      </c>
      <c r="G54" s="85">
        <v>82.9</v>
      </c>
      <c r="H54" s="75"/>
      <c r="I54" s="74">
        <f>ROUND(B54*1.43,1)</f>
        <v>96.2</v>
      </c>
      <c r="J54" s="74">
        <f>ROUND(C54*1.43,1)</f>
        <v>124.6</v>
      </c>
      <c r="K54" s="74">
        <f>ROUND(D54*1.43,1)</f>
        <v>110</v>
      </c>
      <c r="L54" s="74">
        <f>ROUND(E54*1.43,1)</f>
        <v>139.6</v>
      </c>
      <c r="M54" s="74">
        <f>ROUND(F54*1.43,1)</f>
        <v>133</v>
      </c>
      <c r="N54" s="74">
        <f>ROUNDUP(G54*1.43,1)</f>
        <v>118.6</v>
      </c>
      <c r="O54" s="460">
        <f>ROUND(B54*7.33,1)</f>
        <v>493.3</v>
      </c>
      <c r="P54" s="74"/>
      <c r="Q54" s="74">
        <f t="shared" ref="Q54:U56" si="21">ROUND(C54*7.33,1)</f>
        <v>638.4</v>
      </c>
      <c r="R54" s="74">
        <f t="shared" si="21"/>
        <v>563.70000000000005</v>
      </c>
      <c r="S54" s="74">
        <f t="shared" si="21"/>
        <v>715.4</v>
      </c>
      <c r="T54" s="74">
        <f t="shared" si="21"/>
        <v>681.7</v>
      </c>
      <c r="U54" s="74">
        <f t="shared" si="21"/>
        <v>607.70000000000005</v>
      </c>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row>
    <row r="55" spans="1:121" s="4" customFormat="1">
      <c r="A55" s="55" t="s">
        <v>571</v>
      </c>
      <c r="B55" s="85">
        <v>232.2</v>
      </c>
      <c r="C55" s="85">
        <v>203.8</v>
      </c>
      <c r="D55" s="85">
        <v>210</v>
      </c>
      <c r="E55" s="85">
        <v>185.7</v>
      </c>
      <c r="F55" s="85">
        <v>159.80000000000001</v>
      </c>
      <c r="G55" s="85">
        <v>179.1</v>
      </c>
      <c r="H55" s="75"/>
      <c r="I55" s="85">
        <f>IF(ROUND(B55*1.43,1)&lt;&gt;I56-I54,I56-I54,ROUND(B55*1.43,1))</f>
        <v>332.1</v>
      </c>
      <c r="J55" s="74">
        <f>ROUND(C55*1.43,1)</f>
        <v>291.39999999999998</v>
      </c>
      <c r="K55" s="74">
        <f>ROUND(D55*1.43,1)</f>
        <v>300.3</v>
      </c>
      <c r="L55" s="85">
        <f>IF(ROUND(E55*1.43,1)&lt;&gt;L56-L54,L56-L54,ROUND(E55*1.43,1))</f>
        <v>265.5</v>
      </c>
      <c r="M55" s="74">
        <f>ROUND(F55*1.43,1)</f>
        <v>228.5</v>
      </c>
      <c r="N55" s="74">
        <f>ROUND(G55*1.43,1)</f>
        <v>256.10000000000002</v>
      </c>
      <c r="O55" s="460">
        <f>ROUND(B55*7.33,1)</f>
        <v>1702</v>
      </c>
      <c r="P55" s="74"/>
      <c r="Q55" s="74">
        <f t="shared" si="21"/>
        <v>1493.9</v>
      </c>
      <c r="R55" s="74">
        <f t="shared" si="21"/>
        <v>1539.3</v>
      </c>
      <c r="S55" s="74">
        <f t="shared" si="21"/>
        <v>1361.2</v>
      </c>
      <c r="T55" s="74">
        <f t="shared" si="21"/>
        <v>1171.3</v>
      </c>
      <c r="U55" s="74">
        <f t="shared" si="21"/>
        <v>1312.8</v>
      </c>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row>
    <row r="56" spans="1:121" s="4" customFormat="1" ht="13.8" thickBot="1">
      <c r="A56" s="61" t="s">
        <v>572</v>
      </c>
      <c r="B56" s="95">
        <v>299.5</v>
      </c>
      <c r="C56" s="95">
        <v>290.89999999999998</v>
      </c>
      <c r="D56" s="95">
        <v>286.89999999999998</v>
      </c>
      <c r="E56" s="95">
        <v>283.3</v>
      </c>
      <c r="F56" s="95">
        <v>252.8</v>
      </c>
      <c r="G56" s="95">
        <f>G54+G55</f>
        <v>262</v>
      </c>
      <c r="H56" s="76"/>
      <c r="I56" s="95">
        <f>ROUND(B56*1.43,1)</f>
        <v>428.3</v>
      </c>
      <c r="J56" s="95">
        <f>ROUND(C56*1.43,1)</f>
        <v>416</v>
      </c>
      <c r="K56" s="95">
        <f>ROUND(D56*1.43,1)</f>
        <v>410.3</v>
      </c>
      <c r="L56" s="95">
        <f>ROUND(E56*1.43,1)</f>
        <v>405.1</v>
      </c>
      <c r="M56" s="95">
        <f>ROUND(F56*1.43,1)</f>
        <v>361.5</v>
      </c>
      <c r="N56" s="95">
        <f>ROUND(G56*1.43,1)</f>
        <v>374.7</v>
      </c>
      <c r="O56" s="462">
        <f>ROUND(B56*7.33,1)</f>
        <v>2195.3000000000002</v>
      </c>
      <c r="P56" s="95"/>
      <c r="Q56" s="95">
        <f t="shared" si="21"/>
        <v>2132.3000000000002</v>
      </c>
      <c r="R56" s="95">
        <f t="shared" si="21"/>
        <v>2103</v>
      </c>
      <c r="S56" s="95">
        <f t="shared" si="21"/>
        <v>2076.6</v>
      </c>
      <c r="T56" s="95">
        <f t="shared" si="21"/>
        <v>1853</v>
      </c>
      <c r="U56" s="95">
        <f t="shared" si="21"/>
        <v>1920.5</v>
      </c>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row>
    <row r="57" spans="1:121" ht="13.5" customHeight="1">
      <c r="A57" s="503" t="s">
        <v>384</v>
      </c>
      <c r="B57" s="502" t="s">
        <v>25</v>
      </c>
      <c r="C57" s="502"/>
      <c r="D57" s="502"/>
      <c r="E57" s="502"/>
      <c r="F57" s="502"/>
      <c r="G57" s="502"/>
      <c r="H57" s="94"/>
      <c r="I57" s="76"/>
      <c r="J57" s="76"/>
      <c r="K57" s="76"/>
      <c r="L57" s="76"/>
      <c r="M57" s="76"/>
      <c r="N57" s="76"/>
      <c r="O57" s="463"/>
      <c r="P57" s="76"/>
      <c r="Q57" s="76"/>
      <c r="R57" s="76"/>
      <c r="S57" s="76"/>
      <c r="T57" s="76"/>
      <c r="U57" s="76"/>
    </row>
    <row r="58" spans="1:121" ht="13.8" thickBot="1">
      <c r="A58" s="503"/>
      <c r="B58" s="111">
        <v>0.75680000000000003</v>
      </c>
      <c r="C58" s="111">
        <v>0.75680000000000003</v>
      </c>
      <c r="D58" s="111">
        <v>0.75680000000000003</v>
      </c>
      <c r="E58" s="111">
        <v>0.75680000000000003</v>
      </c>
      <c r="F58" s="111">
        <v>0.95679999999999998</v>
      </c>
      <c r="G58" s="111">
        <v>0.95679999999999998</v>
      </c>
      <c r="H58" s="75"/>
      <c r="I58" s="104"/>
      <c r="J58" s="104"/>
      <c r="K58" s="104"/>
      <c r="L58" s="104"/>
      <c r="M58" s="104"/>
      <c r="N58" s="104"/>
      <c r="O58" s="466"/>
      <c r="P58" s="104"/>
      <c r="Q58" s="104"/>
      <c r="R58" s="104"/>
      <c r="S58" s="104"/>
      <c r="T58" s="104"/>
      <c r="U58" s="104"/>
    </row>
    <row r="59" spans="1:121" s="4" customFormat="1">
      <c r="A59" s="55" t="s">
        <v>570</v>
      </c>
      <c r="B59" s="85">
        <v>461.5</v>
      </c>
      <c r="C59" s="85">
        <v>601.79999999999995</v>
      </c>
      <c r="D59" s="85">
        <v>650.1</v>
      </c>
      <c r="E59" s="85">
        <v>615.6</v>
      </c>
      <c r="F59" s="85">
        <v>625.5</v>
      </c>
      <c r="G59" s="85">
        <v>634.5</v>
      </c>
      <c r="H59" s="75"/>
      <c r="I59" s="74">
        <f t="shared" ref="I59:N59" si="22">ROUND(B59*1.43,1)</f>
        <v>659.9</v>
      </c>
      <c r="J59" s="74">
        <f>ROUNDDOWN(C59*1.43,1)</f>
        <v>860.5</v>
      </c>
      <c r="K59" s="74">
        <f t="shared" si="22"/>
        <v>929.6</v>
      </c>
      <c r="L59" s="74">
        <f t="shared" si="22"/>
        <v>880.3</v>
      </c>
      <c r="M59" s="74">
        <f>ROUNDDOWN(F59*1.43,1)</f>
        <v>894.4</v>
      </c>
      <c r="N59" s="74">
        <f t="shared" si="22"/>
        <v>907.3</v>
      </c>
      <c r="O59" s="460">
        <f>ROUND(B59*7.33,1)</f>
        <v>3382.8</v>
      </c>
      <c r="P59" s="74"/>
      <c r="Q59" s="74">
        <f>ROUND(C59*7.33,1)</f>
        <v>4411.2</v>
      </c>
      <c r="R59" s="74">
        <f>ROUND(D59*7.33,1)</f>
        <v>4765.2</v>
      </c>
      <c r="S59" s="74">
        <f>ROUND(E59*7.33,1)</f>
        <v>4512.3</v>
      </c>
      <c r="T59" s="74">
        <f>ROUND(F59*7.33,1)</f>
        <v>4584.8999999999996</v>
      </c>
      <c r="U59" s="74">
        <f>ROUND(G59*7.33,1)</f>
        <v>4650.8999999999996</v>
      </c>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row>
    <row r="60" spans="1:121" s="4" customFormat="1">
      <c r="A60" s="55" t="s">
        <v>571</v>
      </c>
      <c r="B60" s="85">
        <v>470.7</v>
      </c>
      <c r="C60" s="85">
        <v>173.8</v>
      </c>
      <c r="D60" s="85">
        <v>195.5</v>
      </c>
      <c r="E60" s="85">
        <v>379.3</v>
      </c>
      <c r="F60" s="85">
        <v>275.7</v>
      </c>
      <c r="G60" s="85">
        <v>285.39999999999998</v>
      </c>
      <c r="H60" s="75"/>
      <c r="I60" s="74">
        <f t="shared" ref="I60:L61" si="23">ROUND(B60*1.43,1)</f>
        <v>673.1</v>
      </c>
      <c r="J60" s="74">
        <f>ROUNDUP(C60*1.43,1)</f>
        <v>248.6</v>
      </c>
      <c r="K60" s="74">
        <f t="shared" si="23"/>
        <v>279.60000000000002</v>
      </c>
      <c r="L60" s="74">
        <f t="shared" si="23"/>
        <v>542.4</v>
      </c>
      <c r="M60" s="74">
        <f>ROUND(F60*1.43,1)</f>
        <v>394.3</v>
      </c>
      <c r="N60" s="74">
        <f>ROUND(G60*1.43,1)</f>
        <v>408.1</v>
      </c>
      <c r="O60" s="460">
        <f>IF(ROUND(B60*7.33,1)&lt;&gt;O61-O59,O61-O59,ROUND(B60*7.33,1))</f>
        <v>3450.2999999999993</v>
      </c>
      <c r="P60" s="74"/>
      <c r="Q60" s="74">
        <f>IF(ROUND(C60*7.33,1)&lt;&gt;Q61-Q59,Q61-Q59,ROUND(C60*7.33,1))</f>
        <v>1273.9000000000005</v>
      </c>
      <c r="R60" s="74">
        <f>ROUND(D60*7.33,1)</f>
        <v>1433</v>
      </c>
      <c r="S60" s="74">
        <f>ROUND(E60*7.33,1)</f>
        <v>2780.3</v>
      </c>
      <c r="T60" s="74">
        <f>ROUND(F60*7.33,1)</f>
        <v>2020.9</v>
      </c>
      <c r="U60" s="74">
        <f>ROUND(G60*7.33,1)</f>
        <v>2092</v>
      </c>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row>
    <row r="61" spans="1:121" s="4" customFormat="1" ht="13.8" thickBot="1">
      <c r="A61" s="61" t="s">
        <v>572</v>
      </c>
      <c r="B61" s="95">
        <v>932.2</v>
      </c>
      <c r="C61" s="95">
        <v>775.6</v>
      </c>
      <c r="D61" s="95">
        <v>845.6</v>
      </c>
      <c r="E61" s="95">
        <v>994.9</v>
      </c>
      <c r="F61" s="95">
        <v>901.2</v>
      </c>
      <c r="G61" s="95">
        <v>919.9</v>
      </c>
      <c r="H61" s="76"/>
      <c r="I61" s="74">
        <f t="shared" si="23"/>
        <v>1333</v>
      </c>
      <c r="J61" s="74">
        <f t="shared" si="23"/>
        <v>1109.0999999999999</v>
      </c>
      <c r="K61" s="74">
        <f t="shared" si="23"/>
        <v>1209.2</v>
      </c>
      <c r="L61" s="74">
        <f t="shared" si="23"/>
        <v>1422.7</v>
      </c>
      <c r="M61" s="74">
        <f>ROUND(F61*1.43,1)</f>
        <v>1288.7</v>
      </c>
      <c r="N61" s="74">
        <f>N65-N56</f>
        <v>1315.3999999999999</v>
      </c>
      <c r="O61" s="460">
        <f>O65-O56</f>
        <v>6833.0999999999995</v>
      </c>
      <c r="P61" s="74"/>
      <c r="Q61" s="74">
        <f>ROUND(C61*7.33,1)</f>
        <v>5685.1</v>
      </c>
      <c r="R61" s="74">
        <f>ROUND(D61*7.33,1)</f>
        <v>6198.2</v>
      </c>
      <c r="S61" s="74">
        <f>S65-S56</f>
        <v>7292.6</v>
      </c>
      <c r="T61" s="74">
        <f>ROUND(F61*7.33,1)</f>
        <v>6605.8</v>
      </c>
      <c r="U61" s="74">
        <f>ROUND(G61*7.33,1)</f>
        <v>6742.9</v>
      </c>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row>
    <row r="62" spans="1:121">
      <c r="A62" s="71" t="s">
        <v>580</v>
      </c>
      <c r="B62" s="112"/>
      <c r="C62" s="112"/>
      <c r="D62" s="112"/>
      <c r="E62" s="112"/>
      <c r="F62" s="112"/>
      <c r="G62" s="112"/>
      <c r="H62" s="94"/>
      <c r="I62" s="113"/>
      <c r="J62" s="113"/>
      <c r="K62" s="113"/>
      <c r="L62" s="113"/>
      <c r="M62" s="113"/>
      <c r="N62" s="113"/>
      <c r="O62" s="467"/>
      <c r="P62" s="113"/>
      <c r="Q62" s="113"/>
      <c r="R62" s="113"/>
      <c r="S62" s="113"/>
      <c r="T62" s="113"/>
      <c r="U62" s="113"/>
    </row>
    <row r="63" spans="1:121">
      <c r="A63" s="55" t="s">
        <v>570</v>
      </c>
      <c r="B63" s="85">
        <v>528.79999999999995</v>
      </c>
      <c r="C63" s="85">
        <v>688.9</v>
      </c>
      <c r="D63" s="85">
        <v>727</v>
      </c>
      <c r="E63" s="85">
        <v>713.2</v>
      </c>
      <c r="F63" s="85">
        <v>718.5</v>
      </c>
      <c r="G63" s="85">
        <f>G54+G59</f>
        <v>717.4</v>
      </c>
      <c r="H63" s="75"/>
      <c r="I63" s="74">
        <f t="shared" ref="I63:N64" si="24">I54+I59</f>
        <v>756.1</v>
      </c>
      <c r="J63" s="74">
        <f t="shared" si="24"/>
        <v>985.1</v>
      </c>
      <c r="K63" s="74">
        <f t="shared" si="24"/>
        <v>1039.5999999999999</v>
      </c>
      <c r="L63" s="74">
        <f t="shared" si="24"/>
        <v>1019.9</v>
      </c>
      <c r="M63" s="74">
        <f t="shared" si="24"/>
        <v>1027.4000000000001</v>
      </c>
      <c r="N63" s="74">
        <f t="shared" si="24"/>
        <v>1025.8999999999999</v>
      </c>
      <c r="O63" s="460">
        <f>ROUND(B63*7.33,1)</f>
        <v>3876.1</v>
      </c>
      <c r="P63" s="74"/>
      <c r="Q63" s="74">
        <f t="shared" ref="Q63:R65" si="25">ROUND(C63*7.33,1)</f>
        <v>5049.6000000000004</v>
      </c>
      <c r="R63" s="74">
        <f t="shared" si="25"/>
        <v>5328.9</v>
      </c>
      <c r="S63" s="74">
        <f>S59+S54</f>
        <v>5227.7</v>
      </c>
      <c r="T63" s="74">
        <f t="shared" ref="T63:U65" si="26">ROUND(F63*7.33,1)</f>
        <v>5266.6</v>
      </c>
      <c r="U63" s="74">
        <f t="shared" si="26"/>
        <v>5258.5</v>
      </c>
    </row>
    <row r="64" spans="1:121">
      <c r="A64" s="55" t="s">
        <v>571</v>
      </c>
      <c r="B64" s="85">
        <v>702.9</v>
      </c>
      <c r="C64" s="85">
        <v>377.6</v>
      </c>
      <c r="D64" s="85">
        <v>405.5</v>
      </c>
      <c r="E64" s="85">
        <v>565</v>
      </c>
      <c r="F64" s="85">
        <v>435.5</v>
      </c>
      <c r="G64" s="85">
        <f>G55+G60</f>
        <v>464.5</v>
      </c>
      <c r="H64" s="75"/>
      <c r="I64" s="74">
        <f t="shared" si="24"/>
        <v>1005.2</v>
      </c>
      <c r="J64" s="74">
        <f t="shared" si="24"/>
        <v>540</v>
      </c>
      <c r="K64" s="74">
        <f t="shared" si="24"/>
        <v>579.90000000000009</v>
      </c>
      <c r="L64" s="74">
        <f t="shared" si="24"/>
        <v>807.9</v>
      </c>
      <c r="M64" s="74">
        <f t="shared" si="24"/>
        <v>622.79999999999995</v>
      </c>
      <c r="N64" s="74">
        <f t="shared" si="24"/>
        <v>664.2</v>
      </c>
      <c r="O64" s="460">
        <f>O60+O55</f>
        <v>5152.2999999999993</v>
      </c>
      <c r="P64" s="74"/>
      <c r="Q64" s="74">
        <f t="shared" si="25"/>
        <v>2767.8</v>
      </c>
      <c r="R64" s="74">
        <f t="shared" si="25"/>
        <v>2972.3</v>
      </c>
      <c r="S64" s="74">
        <f>S60+S55</f>
        <v>4141.5</v>
      </c>
      <c r="T64" s="74">
        <f t="shared" si="26"/>
        <v>3192.2</v>
      </c>
      <c r="U64" s="74">
        <f t="shared" si="26"/>
        <v>3404.8</v>
      </c>
    </row>
    <row r="65" spans="1:21" ht="13.8" thickBot="1">
      <c r="A65" s="105" t="s">
        <v>572</v>
      </c>
      <c r="B65" s="106">
        <v>1231.7</v>
      </c>
      <c r="C65" s="106">
        <v>1066.5</v>
      </c>
      <c r="D65" s="106">
        <v>1132.5</v>
      </c>
      <c r="E65" s="106">
        <f>ROUND(1278.17,1)</f>
        <v>1278.2</v>
      </c>
      <c r="F65" s="106">
        <v>1154</v>
      </c>
      <c r="G65" s="106">
        <f>G63+G64</f>
        <v>1181.9000000000001</v>
      </c>
      <c r="H65" s="75"/>
      <c r="I65" s="106">
        <f t="shared" ref="I65:N65" si="27">ROUND(B65*1.43,1)</f>
        <v>1761.3</v>
      </c>
      <c r="J65" s="106">
        <f t="shared" si="27"/>
        <v>1525.1</v>
      </c>
      <c r="K65" s="106">
        <f t="shared" si="27"/>
        <v>1619.5</v>
      </c>
      <c r="L65" s="106">
        <f t="shared" si="27"/>
        <v>1827.8</v>
      </c>
      <c r="M65" s="106">
        <f t="shared" si="27"/>
        <v>1650.2</v>
      </c>
      <c r="N65" s="106">
        <f t="shared" si="27"/>
        <v>1690.1</v>
      </c>
      <c r="O65" s="464">
        <f>ROUND(B65*7.33,1)</f>
        <v>9028.4</v>
      </c>
      <c r="P65" s="106"/>
      <c r="Q65" s="106">
        <f t="shared" si="25"/>
        <v>7817.4</v>
      </c>
      <c r="R65" s="106">
        <f t="shared" si="25"/>
        <v>8301.2000000000007</v>
      </c>
      <c r="S65" s="106">
        <f>ROUND(E65*7.33,1)</f>
        <v>9369.2000000000007</v>
      </c>
      <c r="T65" s="106">
        <f t="shared" si="26"/>
        <v>8458.7999999999993</v>
      </c>
      <c r="U65" s="106">
        <f t="shared" si="26"/>
        <v>8663.2999999999993</v>
      </c>
    </row>
    <row r="66" spans="1:21" ht="13.8" thickTop="1">
      <c r="A66" s="501" t="s">
        <v>382</v>
      </c>
      <c r="B66" s="501"/>
      <c r="C66" s="501"/>
      <c r="D66" s="501"/>
      <c r="E66" s="501"/>
      <c r="F66" s="501"/>
      <c r="G66" s="501"/>
      <c r="H66" s="501"/>
      <c r="I66" s="501"/>
      <c r="J66" s="501"/>
      <c r="K66" s="501"/>
      <c r="L66" s="501"/>
      <c r="M66" s="501"/>
      <c r="N66" s="501"/>
      <c r="O66" s="501"/>
      <c r="P66" s="501"/>
      <c r="Q66" s="501"/>
      <c r="R66" s="501"/>
      <c r="S66" s="501"/>
      <c r="T66" s="501"/>
      <c r="U66" s="501"/>
    </row>
    <row r="67" spans="1:21">
      <c r="A67" s="501" t="s">
        <v>279</v>
      </c>
      <c r="B67" s="501"/>
      <c r="C67" s="501"/>
      <c r="D67" s="501"/>
      <c r="E67" s="501"/>
      <c r="F67" s="501"/>
      <c r="G67" s="501"/>
      <c r="H67" s="501"/>
      <c r="I67" s="501"/>
      <c r="J67" s="501"/>
      <c r="K67" s="501"/>
      <c r="L67" s="501"/>
      <c r="M67" s="501"/>
      <c r="N67" s="501"/>
      <c r="O67" s="501"/>
      <c r="P67" s="501"/>
      <c r="Q67" s="501"/>
      <c r="R67" s="501"/>
      <c r="S67" s="501"/>
      <c r="T67" s="501"/>
      <c r="U67" s="501"/>
    </row>
    <row r="68" spans="1:21">
      <c r="A68" s="29"/>
      <c r="B68" s="29"/>
      <c r="C68" s="29"/>
      <c r="D68" s="29"/>
      <c r="E68" s="29"/>
      <c r="F68" s="29"/>
      <c r="G68" s="29"/>
      <c r="H68" s="29"/>
      <c r="I68" s="29"/>
      <c r="J68" s="29"/>
      <c r="K68" s="29"/>
      <c r="L68" s="29"/>
      <c r="M68" s="29"/>
      <c r="N68" s="29"/>
      <c r="O68" s="465"/>
      <c r="P68" s="29"/>
      <c r="Q68" s="29"/>
      <c r="R68" s="29"/>
      <c r="S68" s="29"/>
      <c r="T68" s="29"/>
      <c r="U68" s="29"/>
    </row>
    <row r="69" spans="1:21">
      <c r="A69" s="487" t="s">
        <v>776</v>
      </c>
      <c r="B69" s="487"/>
      <c r="C69" s="487"/>
      <c r="D69" s="487"/>
      <c r="E69" s="487"/>
      <c r="F69" s="487"/>
      <c r="G69" s="487"/>
      <c r="H69" s="487"/>
      <c r="I69" s="4"/>
      <c r="J69" s="4"/>
      <c r="K69" s="4"/>
      <c r="L69" s="4"/>
      <c r="M69" s="4"/>
      <c r="N69" s="4"/>
      <c r="P69" s="4"/>
      <c r="Q69" s="4"/>
      <c r="R69" s="4"/>
      <c r="S69" s="4"/>
      <c r="T69" s="4"/>
      <c r="U69" s="4"/>
    </row>
    <row r="70" spans="1:21" hidden="1">
      <c r="A70" s="8"/>
      <c r="B70" s="9"/>
      <c r="C70" s="10"/>
      <c r="D70" s="10"/>
      <c r="E70" s="10"/>
      <c r="F70" s="4"/>
      <c r="G70" s="4"/>
      <c r="I70" s="4"/>
      <c r="J70" s="4"/>
      <c r="K70" s="4"/>
      <c r="L70" s="4"/>
      <c r="M70" s="4"/>
      <c r="N70" s="4"/>
      <c r="P70" s="4"/>
      <c r="Q70" s="4"/>
      <c r="R70" s="4"/>
      <c r="S70" s="4"/>
      <c r="T70" s="4"/>
      <c r="U70" s="4"/>
    </row>
    <row r="71" spans="1:21" hidden="1">
      <c r="A71" s="8"/>
      <c r="B71" s="9"/>
      <c r="C71" s="10"/>
      <c r="D71" s="10"/>
      <c r="E71" s="10"/>
      <c r="F71" s="4"/>
      <c r="G71" s="4"/>
      <c r="I71" s="4"/>
      <c r="J71" s="4"/>
      <c r="K71" s="4"/>
      <c r="L71" s="4"/>
      <c r="M71" s="4"/>
      <c r="N71" s="4"/>
      <c r="P71" s="4"/>
      <c r="Q71" s="4"/>
      <c r="R71" s="4"/>
      <c r="S71" s="4"/>
      <c r="T71" s="4"/>
      <c r="U71" s="4"/>
    </row>
    <row r="72" spans="1:21" hidden="1">
      <c r="A72" s="8"/>
      <c r="B72" s="9"/>
      <c r="C72" s="10"/>
      <c r="D72" s="10"/>
      <c r="E72" s="10"/>
      <c r="F72" s="4"/>
      <c r="G72" s="4"/>
      <c r="I72" s="4"/>
      <c r="J72" s="4"/>
      <c r="K72" s="4"/>
      <c r="L72" s="4"/>
      <c r="M72" s="4"/>
      <c r="N72" s="4"/>
      <c r="P72" s="4"/>
      <c r="Q72" s="4"/>
      <c r="R72" s="4"/>
      <c r="S72" s="4"/>
      <c r="T72" s="4"/>
      <c r="U72" s="4"/>
    </row>
    <row r="73" spans="1:21" hidden="1">
      <c r="A73" s="4"/>
      <c r="B73" s="4"/>
      <c r="C73" s="4"/>
      <c r="D73" s="4"/>
      <c r="E73" s="4"/>
      <c r="F73" s="4"/>
      <c r="G73" s="4"/>
      <c r="I73" s="4"/>
      <c r="J73" s="4"/>
      <c r="K73" s="4"/>
      <c r="L73" s="4"/>
      <c r="M73" s="4"/>
      <c r="N73" s="4"/>
      <c r="P73" s="4"/>
      <c r="Q73" s="4"/>
      <c r="R73" s="4"/>
      <c r="S73" s="4"/>
      <c r="T73" s="4"/>
      <c r="U73" s="4"/>
    </row>
    <row r="74" spans="1:21" hidden="1">
      <c r="A74" s="4"/>
      <c r="B74" s="4"/>
      <c r="C74" s="4"/>
      <c r="D74" s="4"/>
      <c r="E74" s="4"/>
      <c r="F74" s="4"/>
      <c r="G74" s="4"/>
      <c r="I74" s="4"/>
      <c r="J74" s="4"/>
      <c r="K74" s="4"/>
      <c r="L74" s="4"/>
      <c r="M74" s="4"/>
      <c r="N74" s="4"/>
      <c r="P74" s="4"/>
      <c r="Q74" s="4"/>
      <c r="R74" s="4"/>
      <c r="S74" s="4"/>
      <c r="T74" s="4"/>
      <c r="U74" s="4"/>
    </row>
    <row r="75" spans="1:21" hidden="1">
      <c r="A75" s="4"/>
      <c r="B75" s="4"/>
      <c r="C75" s="4"/>
      <c r="D75" s="4"/>
      <c r="E75" s="4"/>
      <c r="F75" s="4"/>
      <c r="G75" s="4"/>
      <c r="I75" s="4"/>
      <c r="J75" s="4"/>
      <c r="K75" s="4"/>
      <c r="L75" s="4"/>
      <c r="M75" s="4"/>
      <c r="N75" s="4"/>
      <c r="P75" s="4"/>
      <c r="Q75" s="4"/>
      <c r="R75" s="4"/>
      <c r="S75" s="4"/>
      <c r="T75" s="4"/>
      <c r="U75" s="4"/>
    </row>
    <row r="76" spans="1:21" hidden="1">
      <c r="A76" s="4"/>
      <c r="B76" s="4"/>
      <c r="C76" s="4"/>
      <c r="D76" s="4"/>
      <c r="E76" s="4"/>
      <c r="F76" s="4"/>
      <c r="G76" s="4"/>
      <c r="I76" s="4"/>
      <c r="J76" s="4"/>
      <c r="K76" s="4"/>
      <c r="L76" s="4"/>
      <c r="M76" s="4"/>
      <c r="N76" s="4"/>
      <c r="P76" s="4"/>
      <c r="Q76" s="4"/>
      <c r="R76" s="4"/>
      <c r="S76" s="4"/>
      <c r="T76" s="4"/>
      <c r="U76" s="4"/>
    </row>
    <row r="77" spans="1:21" hidden="1">
      <c r="A77" s="4"/>
      <c r="B77" s="4"/>
      <c r="C77" s="4"/>
      <c r="D77" s="4"/>
      <c r="E77" s="4"/>
      <c r="F77" s="4"/>
      <c r="G77" s="4"/>
      <c r="I77" s="4"/>
      <c r="J77" s="4"/>
      <c r="K77" s="4"/>
      <c r="L77" s="4"/>
      <c r="M77" s="4"/>
      <c r="N77" s="4"/>
      <c r="P77" s="4"/>
      <c r="Q77" s="4"/>
      <c r="R77" s="4"/>
      <c r="S77" s="4"/>
      <c r="T77" s="4"/>
      <c r="U77" s="4"/>
    </row>
    <row r="78" spans="1:21" hidden="1">
      <c r="A78" s="4"/>
      <c r="B78" s="4"/>
      <c r="C78" s="4"/>
      <c r="D78" s="4"/>
      <c r="E78" s="4"/>
      <c r="F78" s="4"/>
      <c r="G78" s="4"/>
      <c r="I78" s="4"/>
      <c r="J78" s="4"/>
      <c r="K78" s="4"/>
      <c r="L78" s="4"/>
      <c r="M78" s="4"/>
      <c r="N78" s="4"/>
      <c r="P78" s="4"/>
      <c r="Q78" s="4"/>
      <c r="R78" s="4"/>
      <c r="S78" s="4"/>
      <c r="T78" s="4"/>
      <c r="U78" s="4"/>
    </row>
    <row r="79" spans="1:21" hidden="1">
      <c r="A79" s="4"/>
      <c r="B79" s="4"/>
      <c r="C79" s="4"/>
      <c r="D79" s="4"/>
      <c r="E79" s="4"/>
      <c r="F79" s="4"/>
      <c r="G79" s="4"/>
      <c r="I79" s="4"/>
      <c r="J79" s="4"/>
      <c r="K79" s="4"/>
      <c r="L79" s="4"/>
      <c r="M79" s="4"/>
      <c r="N79" s="4"/>
      <c r="P79" s="4"/>
      <c r="Q79" s="4"/>
      <c r="R79" s="4"/>
      <c r="S79" s="4"/>
      <c r="T79" s="4"/>
      <c r="U79" s="4"/>
    </row>
    <row r="80" spans="1:21" hidden="1">
      <c r="A80" s="4"/>
      <c r="B80" s="4"/>
      <c r="C80" s="4"/>
      <c r="D80" s="4"/>
      <c r="E80" s="4"/>
      <c r="F80" s="4"/>
      <c r="G80" s="4"/>
      <c r="I80" s="4"/>
      <c r="J80" s="4"/>
      <c r="K80" s="4"/>
      <c r="L80" s="4"/>
      <c r="M80" s="4"/>
      <c r="N80" s="4"/>
      <c r="P80" s="4"/>
      <c r="Q80" s="4"/>
      <c r="R80" s="4"/>
      <c r="S80" s="4"/>
      <c r="T80" s="4"/>
      <c r="U80" s="4"/>
    </row>
    <row r="81" spans="1:21" hidden="1">
      <c r="A81" s="4"/>
      <c r="B81" s="4"/>
      <c r="C81" s="4"/>
      <c r="D81" s="4"/>
      <c r="E81" s="4"/>
      <c r="F81" s="4"/>
      <c r="G81" s="4"/>
      <c r="I81" s="4"/>
      <c r="J81" s="4"/>
      <c r="K81" s="4"/>
      <c r="L81" s="4"/>
      <c r="M81" s="4"/>
      <c r="N81" s="4"/>
      <c r="P81" s="4"/>
      <c r="Q81" s="4"/>
      <c r="R81" s="4"/>
      <c r="S81" s="4"/>
      <c r="T81" s="4"/>
      <c r="U81" s="4"/>
    </row>
    <row r="82" spans="1:21" hidden="1">
      <c r="A82" s="4"/>
      <c r="B82" s="4"/>
      <c r="C82" s="4"/>
      <c r="D82" s="4"/>
      <c r="E82" s="4"/>
      <c r="F82" s="4"/>
      <c r="G82" s="4"/>
      <c r="I82" s="4"/>
      <c r="J82" s="4"/>
      <c r="K82" s="4"/>
      <c r="L82" s="4"/>
      <c r="M82" s="4"/>
      <c r="N82" s="4"/>
      <c r="P82" s="4"/>
      <c r="Q82" s="4"/>
      <c r="R82" s="4"/>
      <c r="S82" s="4"/>
      <c r="T82" s="4"/>
      <c r="U82" s="4"/>
    </row>
    <row r="83" spans="1:21" hidden="1">
      <c r="A83" s="4"/>
      <c r="B83" s="4"/>
      <c r="C83" s="4"/>
      <c r="D83" s="4"/>
      <c r="E83" s="4"/>
      <c r="F83" s="4"/>
      <c r="G83" s="4"/>
      <c r="I83" s="4"/>
      <c r="J83" s="4"/>
      <c r="K83" s="4"/>
      <c r="L83" s="4"/>
      <c r="M83" s="4"/>
      <c r="N83" s="4"/>
      <c r="P83" s="4"/>
      <c r="Q83" s="4"/>
      <c r="R83" s="4"/>
      <c r="S83" s="4"/>
      <c r="T83" s="4"/>
      <c r="U83" s="4"/>
    </row>
    <row r="84" spans="1:21" hidden="1">
      <c r="A84" s="4"/>
      <c r="B84" s="4"/>
      <c r="C84" s="4"/>
      <c r="D84" s="4"/>
      <c r="E84" s="4"/>
      <c r="F84" s="4"/>
      <c r="G84" s="4"/>
      <c r="I84" s="4"/>
      <c r="J84" s="4"/>
      <c r="K84" s="4"/>
      <c r="L84" s="4"/>
      <c r="M84" s="4"/>
      <c r="N84" s="4"/>
      <c r="P84" s="4"/>
      <c r="Q84" s="4"/>
      <c r="R84" s="4"/>
      <c r="S84" s="4"/>
      <c r="T84" s="4"/>
      <c r="U84" s="4"/>
    </row>
    <row r="85" spans="1:21" hidden="1">
      <c r="A85" s="4"/>
      <c r="B85" s="4"/>
      <c r="C85" s="4"/>
      <c r="D85" s="4"/>
      <c r="E85" s="4"/>
      <c r="F85" s="4"/>
      <c r="G85" s="4"/>
      <c r="I85" s="4"/>
      <c r="J85" s="4"/>
      <c r="K85" s="4"/>
      <c r="L85" s="4"/>
      <c r="M85" s="4"/>
      <c r="N85" s="4"/>
      <c r="P85" s="4"/>
      <c r="Q85" s="4"/>
      <c r="R85" s="4"/>
      <c r="S85" s="4"/>
      <c r="T85" s="4"/>
      <c r="U85" s="4"/>
    </row>
    <row r="86" spans="1:21" hidden="1">
      <c r="A86" s="4"/>
      <c r="B86" s="4"/>
      <c r="C86" s="4"/>
      <c r="D86" s="4"/>
      <c r="E86" s="4"/>
      <c r="F86" s="4"/>
      <c r="G86" s="4"/>
      <c r="I86" s="4"/>
      <c r="J86" s="4"/>
      <c r="K86" s="4"/>
      <c r="L86" s="4"/>
      <c r="M86" s="4"/>
      <c r="N86" s="4"/>
      <c r="P86" s="4"/>
      <c r="Q86" s="4"/>
      <c r="R86" s="4"/>
      <c r="S86" s="4"/>
      <c r="T86" s="4"/>
      <c r="U86" s="4"/>
    </row>
    <row r="87" spans="1:21" hidden="1">
      <c r="A87" s="4"/>
      <c r="B87" s="4"/>
      <c r="C87" s="4"/>
      <c r="D87" s="4"/>
      <c r="E87" s="4"/>
      <c r="F87" s="4"/>
      <c r="G87" s="4"/>
      <c r="I87" s="4"/>
      <c r="J87" s="4"/>
      <c r="K87" s="4"/>
      <c r="L87" s="4"/>
      <c r="M87" s="4"/>
      <c r="N87" s="4"/>
      <c r="P87" s="4"/>
      <c r="Q87" s="4"/>
      <c r="R87" s="4"/>
      <c r="S87" s="4"/>
      <c r="T87" s="4"/>
      <c r="U87" s="4"/>
    </row>
    <row r="88" spans="1:21" hidden="1">
      <c r="A88" s="4"/>
      <c r="B88" s="4"/>
      <c r="C88" s="4"/>
      <c r="D88" s="4"/>
      <c r="E88" s="4"/>
      <c r="F88" s="4"/>
      <c r="G88" s="4"/>
      <c r="I88" s="4"/>
      <c r="J88" s="4"/>
      <c r="K88" s="4"/>
      <c r="L88" s="4"/>
      <c r="M88" s="4"/>
      <c r="N88" s="4"/>
      <c r="P88" s="4"/>
      <c r="Q88" s="4"/>
      <c r="R88" s="4"/>
      <c r="S88" s="4"/>
      <c r="T88" s="4"/>
      <c r="U88" s="4"/>
    </row>
    <row r="89" spans="1:21" hidden="1">
      <c r="A89" s="4"/>
      <c r="B89" s="4"/>
      <c r="C89" s="4"/>
      <c r="D89" s="4"/>
      <c r="E89" s="4"/>
      <c r="F89" s="4"/>
      <c r="G89" s="4"/>
      <c r="I89" s="4"/>
      <c r="J89" s="4"/>
      <c r="K89" s="4"/>
      <c r="L89" s="4"/>
      <c r="M89" s="4"/>
      <c r="N89" s="4"/>
      <c r="P89" s="4"/>
      <c r="Q89" s="4"/>
      <c r="R89" s="4"/>
      <c r="S89" s="4"/>
      <c r="T89" s="4"/>
      <c r="U89" s="4"/>
    </row>
    <row r="90" spans="1:21" hidden="1">
      <c r="A90" s="4"/>
      <c r="B90" s="4"/>
      <c r="C90" s="4"/>
      <c r="D90" s="4"/>
      <c r="E90" s="4"/>
      <c r="F90" s="4"/>
      <c r="G90" s="4"/>
      <c r="I90" s="4"/>
      <c r="J90" s="4"/>
      <c r="K90" s="4"/>
      <c r="L90" s="4"/>
      <c r="M90" s="4"/>
      <c r="N90" s="4"/>
      <c r="P90" s="4"/>
      <c r="Q90" s="4"/>
      <c r="R90" s="4"/>
      <c r="S90" s="4"/>
      <c r="T90" s="4"/>
      <c r="U90" s="4"/>
    </row>
    <row r="91" spans="1:21" hidden="1">
      <c r="A91" s="4"/>
      <c r="B91" s="4"/>
      <c r="C91" s="4"/>
      <c r="D91" s="4"/>
      <c r="E91" s="4"/>
      <c r="F91" s="4"/>
      <c r="G91" s="4"/>
      <c r="I91" s="4"/>
      <c r="J91" s="4"/>
      <c r="K91" s="4"/>
      <c r="L91" s="4"/>
      <c r="M91" s="4"/>
      <c r="N91" s="4"/>
      <c r="P91" s="4"/>
      <c r="Q91" s="4"/>
      <c r="R91" s="4"/>
      <c r="S91" s="4"/>
      <c r="T91" s="4"/>
      <c r="U91" s="4"/>
    </row>
    <row r="92" spans="1:21" hidden="1">
      <c r="A92" s="4"/>
      <c r="B92" s="4"/>
      <c r="C92" s="4"/>
      <c r="D92" s="4"/>
      <c r="E92" s="4"/>
      <c r="F92" s="4"/>
      <c r="G92" s="4"/>
      <c r="I92" s="4"/>
      <c r="J92" s="4"/>
      <c r="K92" s="4"/>
      <c r="L92" s="4"/>
      <c r="M92" s="4"/>
      <c r="N92" s="4"/>
      <c r="P92" s="4"/>
      <c r="Q92" s="4"/>
      <c r="R92" s="4"/>
      <c r="S92" s="4"/>
      <c r="T92" s="4"/>
      <c r="U92" s="4"/>
    </row>
    <row r="93" spans="1:21" hidden="1">
      <c r="A93" s="4"/>
      <c r="B93" s="4"/>
      <c r="C93" s="4"/>
      <c r="D93" s="4"/>
      <c r="E93" s="4"/>
      <c r="F93" s="4"/>
      <c r="G93" s="4"/>
      <c r="I93" s="4"/>
      <c r="J93" s="4"/>
      <c r="K93" s="4"/>
      <c r="L93" s="4"/>
      <c r="M93" s="4"/>
      <c r="N93" s="4"/>
      <c r="P93" s="4"/>
      <c r="Q93" s="4"/>
      <c r="R93" s="4"/>
      <c r="S93" s="4"/>
      <c r="T93" s="4"/>
      <c r="U93" s="4"/>
    </row>
    <row r="94" spans="1:21" hidden="1">
      <c r="A94" s="4"/>
      <c r="B94" s="4"/>
      <c r="C94" s="4"/>
      <c r="D94" s="4"/>
      <c r="E94" s="4"/>
      <c r="F94" s="4"/>
      <c r="G94" s="4"/>
      <c r="I94" s="4"/>
      <c r="J94" s="4"/>
      <c r="K94" s="4"/>
      <c r="L94" s="4"/>
      <c r="M94" s="4"/>
      <c r="N94" s="4"/>
      <c r="P94" s="4"/>
      <c r="Q94" s="4"/>
      <c r="R94" s="4"/>
      <c r="S94" s="4"/>
      <c r="T94" s="4"/>
      <c r="U94" s="4"/>
    </row>
    <row r="95" spans="1:21" hidden="1">
      <c r="A95" s="4"/>
      <c r="B95" s="4"/>
      <c r="C95" s="4"/>
      <c r="D95" s="4"/>
      <c r="E95" s="4"/>
      <c r="F95" s="4"/>
      <c r="G95" s="4"/>
      <c r="I95" s="4"/>
      <c r="J95" s="4"/>
      <c r="K95" s="4"/>
      <c r="L95" s="4"/>
      <c r="M95" s="4"/>
      <c r="N95" s="4"/>
      <c r="P95" s="4"/>
      <c r="Q95" s="4"/>
      <c r="R95" s="4"/>
      <c r="S95" s="4"/>
      <c r="T95" s="4"/>
      <c r="U95" s="4"/>
    </row>
    <row r="96" spans="1:21" hidden="1">
      <c r="A96" s="4"/>
      <c r="B96" s="4"/>
      <c r="C96" s="4"/>
      <c r="D96" s="4"/>
      <c r="E96" s="4"/>
      <c r="F96" s="4"/>
      <c r="G96" s="4"/>
      <c r="I96" s="4"/>
      <c r="J96" s="4"/>
      <c r="K96" s="4"/>
      <c r="L96" s="4"/>
      <c r="M96" s="4"/>
      <c r="N96" s="4"/>
      <c r="P96" s="4"/>
      <c r="Q96" s="4"/>
      <c r="R96" s="4"/>
      <c r="S96" s="4"/>
      <c r="T96" s="4"/>
      <c r="U96" s="4"/>
    </row>
    <row r="97" spans="1:21" hidden="1">
      <c r="A97" s="4"/>
      <c r="B97" s="4"/>
      <c r="C97" s="4"/>
      <c r="D97" s="4"/>
      <c r="E97" s="4"/>
      <c r="F97" s="4"/>
      <c r="G97" s="4"/>
      <c r="I97" s="4"/>
      <c r="J97" s="4"/>
      <c r="K97" s="4"/>
      <c r="L97" s="4"/>
      <c r="M97" s="4"/>
      <c r="N97" s="4"/>
      <c r="P97" s="4"/>
      <c r="Q97" s="4"/>
      <c r="R97" s="4"/>
      <c r="S97" s="4"/>
      <c r="T97" s="4"/>
      <c r="U97" s="4"/>
    </row>
    <row r="98" spans="1:21" hidden="1">
      <c r="A98" s="4"/>
      <c r="B98" s="4"/>
      <c r="C98" s="4"/>
      <c r="D98" s="4"/>
      <c r="E98" s="4"/>
      <c r="F98" s="4"/>
      <c r="G98" s="4"/>
      <c r="I98" s="4"/>
      <c r="J98" s="4"/>
      <c r="K98" s="4"/>
      <c r="L98" s="4"/>
      <c r="M98" s="4"/>
      <c r="N98" s="4"/>
      <c r="P98" s="4"/>
      <c r="Q98" s="4"/>
      <c r="R98" s="4"/>
      <c r="S98" s="4"/>
      <c r="T98" s="4"/>
      <c r="U98" s="4"/>
    </row>
    <row r="99" spans="1:21" hidden="1">
      <c r="A99" s="4"/>
      <c r="B99" s="4"/>
      <c r="C99" s="4"/>
      <c r="D99" s="4"/>
      <c r="E99" s="4"/>
      <c r="F99" s="4"/>
      <c r="G99" s="4"/>
      <c r="I99" s="4"/>
      <c r="J99" s="4"/>
      <c r="K99" s="4"/>
      <c r="L99" s="4"/>
      <c r="M99" s="4"/>
      <c r="N99" s="4"/>
      <c r="P99" s="4"/>
      <c r="Q99" s="4"/>
      <c r="R99" s="4"/>
      <c r="S99" s="4"/>
      <c r="T99" s="4"/>
      <c r="U99" s="4"/>
    </row>
    <row r="100" spans="1:21" hidden="1">
      <c r="A100" s="4"/>
      <c r="B100" s="4"/>
      <c r="C100" s="4"/>
      <c r="D100" s="4"/>
      <c r="E100" s="4"/>
      <c r="F100" s="4"/>
      <c r="G100" s="4"/>
      <c r="I100" s="4"/>
      <c r="J100" s="4"/>
      <c r="K100" s="4"/>
      <c r="L100" s="4"/>
      <c r="M100" s="4"/>
      <c r="N100" s="4"/>
      <c r="P100" s="4"/>
      <c r="Q100" s="4"/>
      <c r="R100" s="4"/>
      <c r="S100" s="4"/>
      <c r="T100" s="4"/>
      <c r="U100" s="4"/>
    </row>
    <row r="101" spans="1:21" hidden="1">
      <c r="A101" s="4"/>
      <c r="B101" s="4"/>
      <c r="C101" s="4"/>
      <c r="D101" s="4"/>
      <c r="E101" s="4"/>
      <c r="F101" s="4"/>
      <c r="G101" s="4"/>
      <c r="I101" s="4"/>
      <c r="J101" s="4"/>
      <c r="K101" s="4"/>
      <c r="L101" s="4"/>
      <c r="M101" s="4"/>
      <c r="N101" s="4"/>
      <c r="P101" s="4"/>
      <c r="Q101" s="4"/>
      <c r="R101" s="4"/>
      <c r="S101" s="4"/>
      <c r="T101" s="4"/>
      <c r="U101" s="4"/>
    </row>
    <row r="102" spans="1:21" hidden="1">
      <c r="A102" s="4"/>
      <c r="B102" s="4"/>
      <c r="C102" s="4"/>
      <c r="D102" s="4"/>
      <c r="E102" s="4"/>
      <c r="F102" s="4"/>
      <c r="G102" s="4"/>
      <c r="I102" s="4"/>
      <c r="J102" s="4"/>
      <c r="K102" s="4"/>
      <c r="L102" s="4"/>
      <c r="M102" s="4"/>
      <c r="N102" s="4"/>
      <c r="P102" s="4"/>
      <c r="Q102" s="4"/>
      <c r="R102" s="4"/>
      <c r="S102" s="4"/>
      <c r="T102" s="4"/>
      <c r="U102" s="4"/>
    </row>
    <row r="103" spans="1:21" hidden="1">
      <c r="A103" s="4"/>
      <c r="B103" s="4"/>
      <c r="C103" s="4"/>
      <c r="D103" s="4"/>
      <c r="E103" s="4"/>
      <c r="F103" s="4"/>
      <c r="G103" s="4"/>
      <c r="I103" s="4"/>
      <c r="J103" s="4"/>
      <c r="K103" s="4"/>
      <c r="L103" s="4"/>
      <c r="M103" s="4"/>
      <c r="N103" s="4"/>
      <c r="P103" s="4"/>
      <c r="Q103" s="4"/>
      <c r="R103" s="4"/>
      <c r="S103" s="4"/>
      <c r="T103" s="4"/>
      <c r="U103" s="4"/>
    </row>
    <row r="104" spans="1:21" hidden="1">
      <c r="A104" s="4"/>
      <c r="B104" s="4"/>
      <c r="C104" s="4"/>
      <c r="D104" s="4"/>
      <c r="E104" s="4"/>
      <c r="F104" s="4"/>
      <c r="G104" s="4"/>
      <c r="I104" s="4"/>
      <c r="J104" s="4"/>
      <c r="K104" s="4"/>
      <c r="L104" s="4"/>
      <c r="M104" s="4"/>
      <c r="N104" s="4"/>
      <c r="P104" s="4"/>
      <c r="Q104" s="4"/>
      <c r="R104" s="4"/>
      <c r="S104" s="4"/>
      <c r="T104" s="4"/>
      <c r="U104" s="4"/>
    </row>
    <row r="105" spans="1:21" hidden="1">
      <c r="A105" s="4"/>
      <c r="B105" s="4"/>
      <c r="C105" s="4"/>
      <c r="D105" s="4"/>
      <c r="E105" s="4"/>
      <c r="F105" s="4"/>
      <c r="G105" s="4"/>
      <c r="I105" s="4"/>
      <c r="J105" s="4"/>
      <c r="K105" s="4"/>
      <c r="L105" s="4"/>
      <c r="M105" s="4"/>
      <c r="N105" s="4"/>
      <c r="P105" s="4"/>
      <c r="Q105" s="4"/>
      <c r="R105" s="4"/>
      <c r="S105" s="4"/>
      <c r="T105" s="4"/>
      <c r="U105" s="4"/>
    </row>
    <row r="106" spans="1:21" hidden="1">
      <c r="A106" s="4"/>
      <c r="B106" s="4"/>
      <c r="C106" s="4"/>
      <c r="D106" s="4"/>
      <c r="E106" s="4"/>
      <c r="F106" s="4"/>
      <c r="G106" s="4"/>
      <c r="I106" s="4"/>
      <c r="J106" s="4"/>
      <c r="K106" s="4"/>
      <c r="L106" s="4"/>
      <c r="M106" s="4"/>
      <c r="N106" s="4"/>
      <c r="P106" s="4"/>
      <c r="Q106" s="4"/>
      <c r="R106" s="4"/>
      <c r="S106" s="4"/>
      <c r="T106" s="4"/>
      <c r="U106" s="4"/>
    </row>
    <row r="107" spans="1:21" hidden="1">
      <c r="A107" s="4"/>
      <c r="B107" s="4"/>
      <c r="C107" s="4"/>
      <c r="D107" s="4"/>
      <c r="E107" s="4"/>
      <c r="F107" s="4"/>
      <c r="G107" s="4"/>
      <c r="I107" s="4"/>
      <c r="J107" s="4"/>
      <c r="K107" s="4"/>
      <c r="L107" s="4"/>
      <c r="M107" s="4"/>
      <c r="N107" s="4"/>
      <c r="P107" s="4"/>
      <c r="Q107" s="4"/>
      <c r="R107" s="4"/>
      <c r="S107" s="4"/>
      <c r="T107" s="4"/>
      <c r="U107" s="4"/>
    </row>
    <row r="108" spans="1:21" hidden="1">
      <c r="A108" s="4"/>
      <c r="B108" s="4"/>
      <c r="C108" s="4"/>
      <c r="D108" s="4"/>
      <c r="E108" s="4"/>
      <c r="F108" s="4"/>
      <c r="G108" s="4"/>
      <c r="I108" s="4"/>
      <c r="J108" s="4"/>
      <c r="K108" s="4"/>
      <c r="L108" s="4"/>
      <c r="M108" s="4"/>
      <c r="N108" s="4"/>
      <c r="P108" s="4"/>
      <c r="Q108" s="4"/>
      <c r="R108" s="4"/>
      <c r="S108" s="4"/>
      <c r="T108" s="4"/>
      <c r="U108" s="4"/>
    </row>
    <row r="109" spans="1:21" hidden="1">
      <c r="A109" s="4"/>
      <c r="B109" s="4"/>
      <c r="C109" s="4"/>
      <c r="D109" s="4"/>
      <c r="E109" s="4"/>
      <c r="F109" s="4"/>
      <c r="G109" s="4"/>
      <c r="I109" s="4"/>
      <c r="J109" s="4"/>
      <c r="K109" s="4"/>
      <c r="L109" s="4"/>
      <c r="M109" s="4"/>
      <c r="N109" s="4"/>
      <c r="P109" s="4"/>
      <c r="Q109" s="4"/>
      <c r="R109" s="4"/>
      <c r="S109" s="4"/>
      <c r="T109" s="4"/>
      <c r="U109" s="4"/>
    </row>
    <row r="110" spans="1:21" hidden="1">
      <c r="A110" s="4"/>
      <c r="B110" s="4"/>
      <c r="C110" s="4"/>
      <c r="D110" s="4"/>
      <c r="E110" s="4"/>
      <c r="F110" s="4"/>
      <c r="G110" s="4"/>
      <c r="I110" s="4"/>
      <c r="J110" s="4"/>
      <c r="K110" s="4"/>
      <c r="L110" s="4"/>
      <c r="M110" s="4"/>
      <c r="N110" s="4"/>
      <c r="P110" s="4"/>
      <c r="Q110" s="4"/>
      <c r="R110" s="4"/>
      <c r="S110" s="4"/>
      <c r="T110" s="4"/>
      <c r="U110" s="4"/>
    </row>
    <row r="111" spans="1:21" hidden="1">
      <c r="A111" s="4"/>
      <c r="B111" s="4"/>
      <c r="C111" s="4"/>
      <c r="D111" s="4"/>
      <c r="E111" s="4"/>
      <c r="F111" s="4"/>
      <c r="G111" s="4"/>
      <c r="I111" s="4"/>
      <c r="J111" s="4"/>
      <c r="K111" s="4"/>
      <c r="L111" s="4"/>
      <c r="M111" s="4"/>
      <c r="N111" s="4"/>
      <c r="P111" s="4"/>
      <c r="Q111" s="4"/>
      <c r="R111" s="4"/>
      <c r="S111" s="4"/>
      <c r="T111" s="4"/>
      <c r="U111" s="4"/>
    </row>
    <row r="112" spans="1:21" hidden="1">
      <c r="A112" s="4"/>
      <c r="B112" s="4"/>
      <c r="C112" s="4"/>
      <c r="D112" s="4"/>
      <c r="E112" s="4"/>
      <c r="F112" s="4"/>
      <c r="G112" s="4"/>
      <c r="I112" s="4"/>
      <c r="J112" s="4"/>
      <c r="K112" s="4"/>
      <c r="L112" s="4"/>
      <c r="M112" s="4"/>
      <c r="N112" s="4"/>
      <c r="P112" s="4"/>
      <c r="Q112" s="4"/>
      <c r="R112" s="4"/>
      <c r="S112" s="4"/>
      <c r="T112" s="4"/>
      <c r="U112" s="4"/>
    </row>
    <row r="113" spans="1:21" hidden="1">
      <c r="A113" s="4"/>
      <c r="B113" s="4"/>
      <c r="C113" s="4"/>
      <c r="D113" s="4"/>
      <c r="E113" s="4"/>
      <c r="F113" s="4"/>
      <c r="G113" s="4"/>
      <c r="I113" s="4"/>
      <c r="J113" s="4"/>
      <c r="K113" s="4"/>
      <c r="L113" s="4"/>
      <c r="M113" s="4"/>
      <c r="N113" s="4"/>
      <c r="P113" s="4"/>
      <c r="Q113" s="4"/>
      <c r="R113" s="4"/>
      <c r="S113" s="4"/>
      <c r="T113" s="4"/>
      <c r="U113" s="4"/>
    </row>
    <row r="114" spans="1:21" hidden="1">
      <c r="A114" s="4"/>
      <c r="B114" s="4"/>
      <c r="C114" s="4"/>
      <c r="D114" s="4"/>
      <c r="E114" s="4"/>
      <c r="F114" s="4"/>
      <c r="G114" s="4"/>
      <c r="I114" s="4"/>
      <c r="J114" s="4"/>
      <c r="K114" s="4"/>
      <c r="L114" s="4"/>
      <c r="M114" s="4"/>
      <c r="N114" s="4"/>
      <c r="P114" s="4"/>
      <c r="Q114" s="4"/>
      <c r="R114" s="4"/>
      <c r="S114" s="4"/>
      <c r="T114" s="4"/>
      <c r="U114" s="4"/>
    </row>
    <row r="115" spans="1:21" hidden="1">
      <c r="A115" s="4"/>
      <c r="B115" s="4"/>
      <c r="C115" s="4"/>
      <c r="D115" s="4"/>
      <c r="E115" s="4"/>
      <c r="F115" s="4"/>
      <c r="G115" s="4"/>
      <c r="I115" s="4"/>
      <c r="J115" s="4"/>
      <c r="K115" s="4"/>
      <c r="L115" s="4"/>
      <c r="M115" s="4"/>
      <c r="N115" s="4"/>
      <c r="P115" s="4"/>
      <c r="Q115" s="4"/>
      <c r="R115" s="4"/>
      <c r="S115" s="4"/>
      <c r="T115" s="4"/>
      <c r="U115" s="4"/>
    </row>
    <row r="116" spans="1:21" hidden="1"/>
    <row r="117" spans="1:21" hidden="1"/>
    <row r="118" spans="1:21" hidden="1"/>
    <row r="119" spans="1:21" hidden="1"/>
    <row r="120" spans="1:21" hidden="1"/>
    <row r="121" spans="1:21" hidden="1"/>
    <row r="122" spans="1:21" hidden="1"/>
    <row r="123" spans="1:21" hidden="1"/>
    <row r="124" spans="1:21" hidden="1"/>
  </sheetData>
  <sheetProtection password="CAF1" sheet="1" objects="1" scenarios="1" formatCells="0" formatColumns="0" formatRows="0" insertColumns="0" insertRows="0" insertHyperlinks="0" deleteColumns="0" deleteRows="0" sort="0" autoFilter="0" pivotTables="0"/>
  <mergeCells count="39">
    <mergeCell ref="B15:G15"/>
    <mergeCell ref="A46:U46"/>
    <mergeCell ref="B2:G2"/>
    <mergeCell ref="I34:N34"/>
    <mergeCell ref="B34:G34"/>
    <mergeCell ref="I4:N4"/>
    <mergeCell ref="B20:G20"/>
    <mergeCell ref="A30:U30"/>
    <mergeCell ref="A5:A6"/>
    <mergeCell ref="A10:A11"/>
    <mergeCell ref="B4:G4"/>
    <mergeCell ref="B10:G10"/>
    <mergeCell ref="A15:A16"/>
    <mergeCell ref="A20:A21"/>
    <mergeCell ref="Q2:U2"/>
    <mergeCell ref="Q4:U4"/>
    <mergeCell ref="I2:N2"/>
    <mergeCell ref="A37:A38"/>
    <mergeCell ref="A29:U29"/>
    <mergeCell ref="A31:U31"/>
    <mergeCell ref="I36:N36"/>
    <mergeCell ref="B36:G36"/>
    <mergeCell ref="B37:F38"/>
    <mergeCell ref="Q34:U34"/>
    <mergeCell ref="Q36:U36"/>
    <mergeCell ref="I49:M49"/>
    <mergeCell ref="Q51:U51"/>
    <mergeCell ref="Q49:U49"/>
    <mergeCell ref="A69:H69"/>
    <mergeCell ref="B49:F49"/>
    <mergeCell ref="B57:G57"/>
    <mergeCell ref="A57:A58"/>
    <mergeCell ref="B52:F52"/>
    <mergeCell ref="A52:A53"/>
    <mergeCell ref="B53:F53"/>
    <mergeCell ref="A66:U66"/>
    <mergeCell ref="A67:U67"/>
    <mergeCell ref="B51:G51"/>
    <mergeCell ref="I51:N51"/>
  </mergeCells>
  <phoneticPr fontId="8" type="noConversion"/>
  <hyperlinks>
    <hyperlink ref="A69:H69" location="Титул!A1" display="Вернуться к Содержанию"/>
  </hyperlinks>
  <pageMargins left="0.25" right="0.25" top="0.75" bottom="0.75" header="0.3" footer="0.3"/>
  <pageSetup paperSize="9" firstPageNumber="9" orientation="landscape" useFirstPageNumber="1" r:id="rId1"/>
  <headerFooter alignWithMargins="0">
    <oddHeader>&amp;L&amp;"Times New Roman,полужирный"Газпром в цифрах 2006-2010 гг.&amp;R&amp;"Times New Roman,полужирный"Справочник</oddHeader>
    <oddFooter>&amp;C&amp;P</oddFooter>
  </headerFooter>
  <rowBreaks count="1" manualBreakCount="1">
    <brk id="32" max="16383" man="1"/>
  </rowBreaks>
</worksheet>
</file>

<file path=xl/worksheets/sheet9.xml><?xml version="1.0" encoding="utf-8"?>
<worksheet xmlns="http://schemas.openxmlformats.org/spreadsheetml/2006/main" xmlns:r="http://schemas.openxmlformats.org/officeDocument/2006/relationships">
  <sheetPr codeName="Лист9"/>
  <dimension ref="A1:BB45"/>
  <sheetViews>
    <sheetView zoomScaleNormal="100" zoomScaleSheetLayoutView="100" workbookViewId="0"/>
  </sheetViews>
  <sheetFormatPr defaultColWidth="0" defaultRowHeight="13.2" zeroHeight="1" outlineLevelCol="1"/>
  <cols>
    <col min="1" max="1" width="31.109375" style="2" customWidth="1"/>
    <col min="2" max="2" width="7.33203125" style="2" hidden="1" customWidth="1" outlineLevel="1"/>
    <col min="3" max="3" width="7.33203125" style="2" customWidth="1" collapsed="1"/>
    <col min="4" max="7" width="7.33203125" style="2" customWidth="1"/>
    <col min="8" max="8" width="1.33203125" style="4" customWidth="1"/>
    <col min="9" max="9" width="7.33203125" style="2" hidden="1" customWidth="1" outlineLevel="1"/>
    <col min="10" max="10" width="7.33203125" style="2" customWidth="1" collapsed="1"/>
    <col min="11" max="14" width="7.33203125" style="2" customWidth="1"/>
    <col min="15" max="15" width="1.33203125" style="4" customWidth="1"/>
    <col min="16" max="16" width="7.6640625" style="2" hidden="1" customWidth="1" outlineLevel="1"/>
    <col min="17" max="17" width="7.6640625" style="2" customWidth="1" collapsed="1"/>
    <col min="18" max="21" width="7.6640625" style="2" customWidth="1"/>
    <col min="22" max="54" width="7.6640625" style="2" hidden="1" customWidth="1"/>
    <col min="55" max="16384" width="0" style="2" hidden="1"/>
  </cols>
  <sheetData>
    <row r="1" spans="1:21" ht="16.5" customHeight="1">
      <c r="A1" s="51" t="s">
        <v>908</v>
      </c>
      <c r="B1" s="28"/>
      <c r="C1" s="28"/>
      <c r="D1" s="28"/>
      <c r="E1" s="28"/>
      <c r="F1" s="28"/>
      <c r="G1" s="28"/>
      <c r="H1" s="29"/>
      <c r="I1" s="28"/>
      <c r="J1" s="28"/>
      <c r="K1" s="28"/>
      <c r="L1" s="28"/>
      <c r="M1" s="28"/>
      <c r="N1" s="28"/>
      <c r="O1" s="29"/>
      <c r="P1" s="28"/>
      <c r="Q1" s="28"/>
      <c r="R1" s="28"/>
      <c r="S1" s="28"/>
      <c r="T1" s="28"/>
      <c r="U1" s="28"/>
    </row>
    <row r="2" spans="1:21" ht="12.75" customHeight="1">
      <c r="A2" s="512" t="s">
        <v>29</v>
      </c>
      <c r="B2" s="488" t="s">
        <v>569</v>
      </c>
      <c r="C2" s="488"/>
      <c r="D2" s="488"/>
      <c r="E2" s="488"/>
      <c r="F2" s="488"/>
      <c r="G2" s="488"/>
      <c r="H2" s="31"/>
      <c r="I2" s="488" t="s">
        <v>569</v>
      </c>
      <c r="J2" s="488"/>
      <c r="K2" s="488"/>
      <c r="L2" s="488"/>
      <c r="M2" s="488"/>
      <c r="N2" s="488"/>
      <c r="O2" s="31"/>
      <c r="P2" s="488" t="s">
        <v>569</v>
      </c>
      <c r="Q2" s="488"/>
      <c r="R2" s="488"/>
      <c r="S2" s="488"/>
      <c r="T2" s="488"/>
      <c r="U2" s="488"/>
    </row>
    <row r="3" spans="1:21">
      <c r="A3" s="512"/>
      <c r="B3" s="32">
        <v>2005</v>
      </c>
      <c r="C3" s="32">
        <v>2006</v>
      </c>
      <c r="D3" s="32">
        <v>2007</v>
      </c>
      <c r="E3" s="32">
        <v>2008</v>
      </c>
      <c r="F3" s="32">
        <v>2009</v>
      </c>
      <c r="G3" s="32">
        <v>2010</v>
      </c>
      <c r="H3" s="33"/>
      <c r="I3" s="32">
        <v>2005</v>
      </c>
      <c r="J3" s="32">
        <v>2006</v>
      </c>
      <c r="K3" s="32">
        <v>2007</v>
      </c>
      <c r="L3" s="32">
        <v>2008</v>
      </c>
      <c r="M3" s="32">
        <v>2009</v>
      </c>
      <c r="N3" s="32">
        <v>2010</v>
      </c>
      <c r="O3" s="33"/>
      <c r="P3" s="32">
        <v>2005</v>
      </c>
      <c r="Q3" s="32">
        <v>2006</v>
      </c>
      <c r="R3" s="32">
        <v>2007</v>
      </c>
      <c r="S3" s="32">
        <v>2008</v>
      </c>
      <c r="T3" s="32">
        <v>2009</v>
      </c>
      <c r="U3" s="32">
        <v>2010</v>
      </c>
    </row>
    <row r="4" spans="1:21" ht="13.2" customHeight="1">
      <c r="A4" s="34"/>
      <c r="B4" s="511" t="s">
        <v>419</v>
      </c>
      <c r="C4" s="511"/>
      <c r="D4" s="511"/>
      <c r="E4" s="511"/>
      <c r="F4" s="511"/>
      <c r="G4" s="511"/>
      <c r="H4" s="35"/>
      <c r="I4" s="511" t="s">
        <v>566</v>
      </c>
      <c r="J4" s="511"/>
      <c r="K4" s="511"/>
      <c r="L4" s="511"/>
      <c r="M4" s="511"/>
      <c r="N4" s="511"/>
      <c r="O4" s="35"/>
      <c r="P4" s="511" t="s">
        <v>567</v>
      </c>
      <c r="Q4" s="511"/>
      <c r="R4" s="511"/>
      <c r="S4" s="511"/>
      <c r="T4" s="511"/>
      <c r="U4" s="511"/>
    </row>
    <row r="5" spans="1:21">
      <c r="A5" s="72" t="s">
        <v>30</v>
      </c>
      <c r="B5" s="74">
        <v>22341.200000000001</v>
      </c>
      <c r="C5" s="74">
        <v>21937.3</v>
      </c>
      <c r="D5" s="74">
        <v>21514.1</v>
      </c>
      <c r="E5" s="74">
        <v>24265.200000000001</v>
      </c>
      <c r="F5" s="74">
        <v>24390.6</v>
      </c>
      <c r="G5" s="74">
        <v>23566.799999999999</v>
      </c>
      <c r="H5" s="75"/>
      <c r="I5" s="74">
        <f t="shared" ref="I5:K10" si="0">ROUND(B5*1.154,1)</f>
        <v>25781.7</v>
      </c>
      <c r="J5" s="74">
        <f t="shared" si="0"/>
        <v>25315.599999999999</v>
      </c>
      <c r="K5" s="74">
        <f t="shared" si="0"/>
        <v>24827.3</v>
      </c>
      <c r="L5" s="74">
        <f>ROUNDUP(E5*1.154,1)</f>
        <v>28002.1</v>
      </c>
      <c r="M5" s="74">
        <f>ROUND(F5*1.154,1)</f>
        <v>28146.799999999999</v>
      </c>
      <c r="N5" s="74">
        <f>ROUND(G5*1.154,1)</f>
        <v>27196.1</v>
      </c>
      <c r="O5" s="76"/>
      <c r="P5" s="74">
        <f>ROUNDDOWN(B5*5.89,1)</f>
        <v>131589.6</v>
      </c>
      <c r="Q5" s="74">
        <f t="shared" ref="Q5:U10" si="1">ROUND(C5*5.89,1)</f>
        <v>129210.7</v>
      </c>
      <c r="R5" s="74">
        <f t="shared" si="1"/>
        <v>126718</v>
      </c>
      <c r="S5" s="74">
        <f t="shared" si="1"/>
        <v>142922</v>
      </c>
      <c r="T5" s="74">
        <f t="shared" si="1"/>
        <v>143660.6</v>
      </c>
      <c r="U5" s="74">
        <f>ROUNDDOWN(G5*5.89,1)</f>
        <v>138808.4</v>
      </c>
    </row>
    <row r="6" spans="1:21">
      <c r="A6" s="72" t="s">
        <v>31</v>
      </c>
      <c r="B6" s="74">
        <v>94.2</v>
      </c>
      <c r="C6" s="74">
        <v>93.2</v>
      </c>
      <c r="D6" s="74">
        <v>93.3</v>
      </c>
      <c r="E6" s="74">
        <v>92.2</v>
      </c>
      <c r="F6" s="74">
        <v>90.4</v>
      </c>
      <c r="G6" s="74">
        <v>89.3</v>
      </c>
      <c r="H6" s="75"/>
      <c r="I6" s="74">
        <f t="shared" si="0"/>
        <v>108.7</v>
      </c>
      <c r="J6" s="74">
        <f t="shared" si="0"/>
        <v>107.6</v>
      </c>
      <c r="K6" s="74">
        <f t="shared" si="0"/>
        <v>107.7</v>
      </c>
      <c r="L6" s="74">
        <f t="shared" ref="L6:L12" si="2">ROUND(E6*1.154,1)</f>
        <v>106.4</v>
      </c>
      <c r="M6" s="74">
        <f>ROUND(F6*1.154,1)</f>
        <v>104.3</v>
      </c>
      <c r="N6" s="74">
        <f>ROUND(G6*1.154,1)</f>
        <v>103.1</v>
      </c>
      <c r="O6" s="76"/>
      <c r="P6" s="74">
        <f t="shared" ref="P6:P12" si="3">ROUND(B6*5.89,1)</f>
        <v>554.79999999999995</v>
      </c>
      <c r="Q6" s="74">
        <f t="shared" si="1"/>
        <v>548.9</v>
      </c>
      <c r="R6" s="74">
        <f t="shared" si="1"/>
        <v>549.5</v>
      </c>
      <c r="S6" s="74">
        <f t="shared" si="1"/>
        <v>543.1</v>
      </c>
      <c r="T6" s="74">
        <f t="shared" si="1"/>
        <v>532.5</v>
      </c>
      <c r="U6" s="74">
        <f t="shared" si="1"/>
        <v>526</v>
      </c>
    </row>
    <row r="7" spans="1:21">
      <c r="A7" s="72" t="s">
        <v>32</v>
      </c>
      <c r="B7" s="74">
        <v>2616.6</v>
      </c>
      <c r="C7" s="74">
        <v>2594.8000000000002</v>
      </c>
      <c r="D7" s="74">
        <v>2581.8000000000002</v>
      </c>
      <c r="E7" s="74">
        <v>2569</v>
      </c>
      <c r="F7" s="74">
        <v>2560.6999999999998</v>
      </c>
      <c r="G7" s="74">
        <v>2545.4</v>
      </c>
      <c r="H7" s="75"/>
      <c r="I7" s="74">
        <f t="shared" si="0"/>
        <v>3019.6</v>
      </c>
      <c r="J7" s="74">
        <f t="shared" si="0"/>
        <v>2994.4</v>
      </c>
      <c r="K7" s="74">
        <f t="shared" si="0"/>
        <v>2979.4</v>
      </c>
      <c r="L7" s="74">
        <f t="shared" si="2"/>
        <v>2964.6</v>
      </c>
      <c r="M7" s="74">
        <f>ROUNDUP(F7*1.154,1)</f>
        <v>2955.1</v>
      </c>
      <c r="N7" s="74">
        <f t="shared" ref="N7:N12" si="4">ROUND(G7*1.154,1)</f>
        <v>2937.4</v>
      </c>
      <c r="O7" s="76"/>
      <c r="P7" s="74">
        <f t="shared" si="3"/>
        <v>15411.8</v>
      </c>
      <c r="Q7" s="74">
        <f t="shared" si="1"/>
        <v>15283.4</v>
      </c>
      <c r="R7" s="74">
        <f t="shared" si="1"/>
        <v>15206.8</v>
      </c>
      <c r="S7" s="74">
        <f t="shared" si="1"/>
        <v>15131.4</v>
      </c>
      <c r="T7" s="74">
        <f t="shared" si="1"/>
        <v>15082.5</v>
      </c>
      <c r="U7" s="74">
        <f t="shared" si="1"/>
        <v>14992.4</v>
      </c>
    </row>
    <row r="8" spans="1:21">
      <c r="A8" s="72" t="s">
        <v>33</v>
      </c>
      <c r="B8" s="74">
        <v>830.4</v>
      </c>
      <c r="C8" s="74">
        <v>810.6</v>
      </c>
      <c r="D8" s="74">
        <v>792.8</v>
      </c>
      <c r="E8" s="74">
        <v>774.7</v>
      </c>
      <c r="F8" s="74">
        <v>758.5</v>
      </c>
      <c r="G8" s="74">
        <v>751.3</v>
      </c>
      <c r="H8" s="75"/>
      <c r="I8" s="74">
        <f t="shared" si="0"/>
        <v>958.3</v>
      </c>
      <c r="J8" s="74">
        <f t="shared" si="0"/>
        <v>935.4</v>
      </c>
      <c r="K8" s="74">
        <f t="shared" si="0"/>
        <v>914.9</v>
      </c>
      <c r="L8" s="74">
        <f t="shared" si="2"/>
        <v>894</v>
      </c>
      <c r="M8" s="74">
        <f>ROUND(F8*1.154,1)</f>
        <v>875.3</v>
      </c>
      <c r="N8" s="74">
        <f t="shared" si="4"/>
        <v>867</v>
      </c>
      <c r="O8" s="76"/>
      <c r="P8" s="74">
        <f t="shared" si="3"/>
        <v>4891.1000000000004</v>
      </c>
      <c r="Q8" s="74">
        <f t="shared" si="1"/>
        <v>4774.3999999999996</v>
      </c>
      <c r="R8" s="74">
        <f t="shared" si="1"/>
        <v>4669.6000000000004</v>
      </c>
      <c r="S8" s="74">
        <f t="shared" si="1"/>
        <v>4563</v>
      </c>
      <c r="T8" s="74">
        <f t="shared" si="1"/>
        <v>4467.6000000000004</v>
      </c>
      <c r="U8" s="74">
        <f t="shared" si="1"/>
        <v>4425.2</v>
      </c>
    </row>
    <row r="9" spans="1:21">
      <c r="A9" s="72" t="s">
        <v>34</v>
      </c>
      <c r="B9" s="74">
        <v>303.89999999999998</v>
      </c>
      <c r="C9" s="74">
        <v>295</v>
      </c>
      <c r="D9" s="74">
        <v>275.5</v>
      </c>
      <c r="E9" s="74">
        <v>291.7</v>
      </c>
      <c r="F9" s="74">
        <v>284.7</v>
      </c>
      <c r="G9" s="74">
        <v>308.3</v>
      </c>
      <c r="H9" s="75"/>
      <c r="I9" s="74">
        <f t="shared" si="0"/>
        <v>350.7</v>
      </c>
      <c r="J9" s="74">
        <f t="shared" si="0"/>
        <v>340.4</v>
      </c>
      <c r="K9" s="74">
        <f t="shared" si="0"/>
        <v>317.89999999999998</v>
      </c>
      <c r="L9" s="74">
        <f t="shared" si="2"/>
        <v>336.6</v>
      </c>
      <c r="M9" s="74">
        <f>ROUND(F9*1.154,1)</f>
        <v>328.5</v>
      </c>
      <c r="N9" s="74">
        <f t="shared" si="4"/>
        <v>355.8</v>
      </c>
      <c r="O9" s="76"/>
      <c r="P9" s="74">
        <f t="shared" si="3"/>
        <v>1790</v>
      </c>
      <c r="Q9" s="74">
        <f t="shared" si="1"/>
        <v>1737.6</v>
      </c>
      <c r="R9" s="74">
        <f t="shared" si="1"/>
        <v>1622.7</v>
      </c>
      <c r="S9" s="74">
        <f t="shared" si="1"/>
        <v>1718.1</v>
      </c>
      <c r="T9" s="74">
        <f t="shared" si="1"/>
        <v>1676.9</v>
      </c>
      <c r="U9" s="74">
        <f t="shared" si="1"/>
        <v>1815.9</v>
      </c>
    </row>
    <row r="10" spans="1:21">
      <c r="A10" s="72" t="s">
        <v>35</v>
      </c>
      <c r="B10" s="74">
        <v>8.8000000000000007</v>
      </c>
      <c r="C10" s="74">
        <v>8.8000000000000007</v>
      </c>
      <c r="D10" s="74">
        <v>22</v>
      </c>
      <c r="E10" s="74">
        <v>401.7</v>
      </c>
      <c r="F10" s="74">
        <v>402.2</v>
      </c>
      <c r="G10" s="74">
        <v>456.6</v>
      </c>
      <c r="H10" s="75"/>
      <c r="I10" s="74">
        <f t="shared" si="0"/>
        <v>10.199999999999999</v>
      </c>
      <c r="J10" s="74">
        <f t="shared" si="0"/>
        <v>10.199999999999999</v>
      </c>
      <c r="K10" s="74">
        <f t="shared" si="0"/>
        <v>25.4</v>
      </c>
      <c r="L10" s="74">
        <f t="shared" si="2"/>
        <v>463.6</v>
      </c>
      <c r="M10" s="74">
        <f>ROUND(F10*1.154,1)</f>
        <v>464.1</v>
      </c>
      <c r="N10" s="74">
        <f t="shared" si="4"/>
        <v>526.9</v>
      </c>
      <c r="O10" s="76"/>
      <c r="P10" s="74">
        <f t="shared" si="3"/>
        <v>51.8</v>
      </c>
      <c r="Q10" s="74">
        <f t="shared" si="1"/>
        <v>51.8</v>
      </c>
      <c r="R10" s="74">
        <f t="shared" si="1"/>
        <v>129.6</v>
      </c>
      <c r="S10" s="74">
        <f t="shared" si="1"/>
        <v>2366</v>
      </c>
      <c r="T10" s="74">
        <f t="shared" si="1"/>
        <v>2369</v>
      </c>
      <c r="U10" s="74">
        <f t="shared" si="1"/>
        <v>2689.4</v>
      </c>
    </row>
    <row r="11" spans="1:21" ht="13.8" thickBot="1">
      <c r="A11" s="72" t="s">
        <v>655</v>
      </c>
      <c r="B11" s="74">
        <v>2935.6</v>
      </c>
      <c r="C11" s="74">
        <v>4114.5</v>
      </c>
      <c r="D11" s="74">
        <v>4505.8999999999996</v>
      </c>
      <c r="E11" s="74">
        <v>4728.7</v>
      </c>
      <c r="F11" s="74">
        <v>5091.3</v>
      </c>
      <c r="G11" s="74">
        <v>5334.6</v>
      </c>
      <c r="H11" s="75"/>
      <c r="I11" s="74">
        <f>ROUNDDOWN(B11*1.154,1)</f>
        <v>3387.6</v>
      </c>
      <c r="J11" s="74">
        <f>ROUND(C11*1.154,1)</f>
        <v>4748.1000000000004</v>
      </c>
      <c r="K11" s="74">
        <f>ROUND(D11*1.154,1)</f>
        <v>5199.8</v>
      </c>
      <c r="L11" s="74">
        <f t="shared" si="2"/>
        <v>5456.9</v>
      </c>
      <c r="M11" s="74">
        <f>ROUND(F11*1.154,1)</f>
        <v>5875.4</v>
      </c>
      <c r="N11" s="74">
        <f t="shared" si="4"/>
        <v>6156.1</v>
      </c>
      <c r="O11" s="76"/>
      <c r="P11" s="74">
        <f t="shared" si="3"/>
        <v>17290.7</v>
      </c>
      <c r="Q11" s="74">
        <f t="shared" ref="Q11:S12" si="5">ROUND(C11*5.89,1)</f>
        <v>24234.400000000001</v>
      </c>
      <c r="R11" s="74">
        <f t="shared" si="5"/>
        <v>26539.8</v>
      </c>
      <c r="S11" s="74">
        <f t="shared" si="5"/>
        <v>27852</v>
      </c>
      <c r="T11" s="74">
        <f>ROUNDDOWN(F11*5.89,1)</f>
        <v>29987.7</v>
      </c>
      <c r="U11" s="74">
        <f>ROUNDDOWN(G11*5.89,1)</f>
        <v>31420.7</v>
      </c>
    </row>
    <row r="12" spans="1:21">
      <c r="A12" s="77" t="s">
        <v>580</v>
      </c>
      <c r="B12" s="78">
        <v>29130.7</v>
      </c>
      <c r="C12" s="78">
        <v>29854.2</v>
      </c>
      <c r="D12" s="78">
        <v>29785.4</v>
      </c>
      <c r="E12" s="78">
        <v>33123.199999999997</v>
      </c>
      <c r="F12" s="78">
        <v>33578.400000000001</v>
      </c>
      <c r="G12" s="78">
        <v>33052.300000000003</v>
      </c>
      <c r="H12" s="79"/>
      <c r="I12" s="78">
        <f>ROUND(B12*1.154,1)</f>
        <v>33616.800000000003</v>
      </c>
      <c r="J12" s="78">
        <f>ROUND(C12*1.154,1)</f>
        <v>34451.699999999997</v>
      </c>
      <c r="K12" s="78">
        <f>ROUND(D12*1.154,1)</f>
        <v>34372.400000000001</v>
      </c>
      <c r="L12" s="78">
        <f t="shared" si="2"/>
        <v>38224.199999999997</v>
      </c>
      <c r="M12" s="78">
        <f>ROUND(F12*1.154,1)</f>
        <v>38749.5</v>
      </c>
      <c r="N12" s="78">
        <f t="shared" si="4"/>
        <v>38142.400000000001</v>
      </c>
      <c r="O12" s="80"/>
      <c r="P12" s="78">
        <f t="shared" si="3"/>
        <v>171579.8</v>
      </c>
      <c r="Q12" s="78">
        <f t="shared" si="5"/>
        <v>175841.2</v>
      </c>
      <c r="R12" s="78">
        <f t="shared" si="5"/>
        <v>175436</v>
      </c>
      <c r="S12" s="78">
        <f t="shared" si="5"/>
        <v>195095.6</v>
      </c>
      <c r="T12" s="78">
        <f>ROUND(F12*5.89,1)</f>
        <v>197776.8</v>
      </c>
      <c r="U12" s="78">
        <f>ROUND(G12*5.89,1)</f>
        <v>194678</v>
      </c>
    </row>
    <row r="13" spans="1:21" ht="3.75" customHeight="1">
      <c r="A13" s="82"/>
      <c r="B13" s="83"/>
      <c r="C13" s="83"/>
      <c r="D13" s="83"/>
      <c r="E13" s="83"/>
      <c r="F13" s="83"/>
      <c r="G13" s="83"/>
      <c r="H13" s="79"/>
      <c r="I13" s="83"/>
      <c r="J13" s="83"/>
      <c r="K13" s="83"/>
      <c r="L13" s="83"/>
      <c r="M13" s="83"/>
      <c r="N13" s="83"/>
      <c r="O13" s="80"/>
      <c r="P13" s="83"/>
      <c r="Q13" s="83"/>
      <c r="R13" s="83"/>
      <c r="S13" s="83"/>
      <c r="T13" s="83"/>
      <c r="U13" s="83"/>
    </row>
    <row r="14" spans="1:21" ht="13.2" customHeight="1">
      <c r="A14" s="34"/>
      <c r="B14" s="511" t="s">
        <v>573</v>
      </c>
      <c r="C14" s="511"/>
      <c r="D14" s="511"/>
      <c r="E14" s="511"/>
      <c r="F14" s="511"/>
      <c r="G14" s="511"/>
      <c r="H14" s="35"/>
      <c r="I14" s="511" t="s">
        <v>41</v>
      </c>
      <c r="J14" s="511"/>
      <c r="K14" s="511"/>
      <c r="L14" s="511"/>
      <c r="M14" s="511"/>
      <c r="N14" s="511"/>
      <c r="O14" s="35"/>
      <c r="P14" s="511" t="s">
        <v>40</v>
      </c>
      <c r="Q14" s="511"/>
      <c r="R14" s="511"/>
      <c r="S14" s="511"/>
      <c r="T14" s="511"/>
      <c r="U14" s="511"/>
    </row>
    <row r="15" spans="1:21">
      <c r="A15" s="72" t="s">
        <v>30</v>
      </c>
      <c r="B15" s="74">
        <v>688.4</v>
      </c>
      <c r="C15" s="74">
        <v>689.7</v>
      </c>
      <c r="D15" s="74">
        <v>690.2</v>
      </c>
      <c r="E15" s="74">
        <v>760.4</v>
      </c>
      <c r="F15" s="74">
        <v>770.9</v>
      </c>
      <c r="G15" s="74">
        <v>724</v>
      </c>
      <c r="H15" s="75"/>
      <c r="I15" s="74">
        <f t="shared" ref="I15:L17" si="6">ROUND(B15*1.43,1)</f>
        <v>984.4</v>
      </c>
      <c r="J15" s="74">
        <f t="shared" si="6"/>
        <v>986.3</v>
      </c>
      <c r="K15" s="74">
        <f t="shared" si="6"/>
        <v>987</v>
      </c>
      <c r="L15" s="74">
        <f t="shared" si="6"/>
        <v>1087.4000000000001</v>
      </c>
      <c r="M15" s="74">
        <f>ROUNDDOWN(F15*1.43,1)</f>
        <v>1102.3</v>
      </c>
      <c r="N15" s="74">
        <f t="shared" ref="M15:N22" si="7">ROUND(G15*1.43,1)</f>
        <v>1035.3</v>
      </c>
      <c r="O15" s="76"/>
      <c r="P15" s="74">
        <f t="shared" ref="P15:P22" si="8">ROUND(B15*8.18,1)</f>
        <v>5631.1</v>
      </c>
      <c r="Q15" s="74">
        <f>ROUNDUP(C15*8.18,1)</f>
        <v>5641.8</v>
      </c>
      <c r="R15" s="74">
        <f>ROUNDUP(D15*8.18,1)</f>
        <v>5645.9000000000005</v>
      </c>
      <c r="S15" s="74">
        <f t="shared" ref="S15:S22" si="9">ROUND(E15*8.18,1)</f>
        <v>6220.1</v>
      </c>
      <c r="T15" s="74">
        <f>ROUNDDOWN(F15*8.18,1)</f>
        <v>6305.9</v>
      </c>
      <c r="U15" s="74">
        <f>ROUNDUP(G15*8.18,1)</f>
        <v>5922.4000000000005</v>
      </c>
    </row>
    <row r="16" spans="1:21">
      <c r="A16" s="72" t="s">
        <v>31</v>
      </c>
      <c r="B16" s="74">
        <v>21.5</v>
      </c>
      <c r="C16" s="74">
        <v>21.3</v>
      </c>
      <c r="D16" s="74">
        <v>21.3</v>
      </c>
      <c r="E16" s="74">
        <v>21.2</v>
      </c>
      <c r="F16" s="74">
        <v>20.9</v>
      </c>
      <c r="G16" s="74">
        <v>20.8</v>
      </c>
      <c r="H16" s="75"/>
      <c r="I16" s="74">
        <f t="shared" si="6"/>
        <v>30.7</v>
      </c>
      <c r="J16" s="74">
        <f t="shared" si="6"/>
        <v>30.5</v>
      </c>
      <c r="K16" s="74">
        <f t="shared" si="6"/>
        <v>30.5</v>
      </c>
      <c r="L16" s="74">
        <f t="shared" si="6"/>
        <v>30.3</v>
      </c>
      <c r="M16" s="74">
        <f t="shared" si="7"/>
        <v>29.9</v>
      </c>
      <c r="N16" s="74">
        <f t="shared" si="7"/>
        <v>29.7</v>
      </c>
      <c r="O16" s="76"/>
      <c r="P16" s="74">
        <f t="shared" si="8"/>
        <v>175.9</v>
      </c>
      <c r="Q16" s="74">
        <f>ROUND(C16*8.18,1)</f>
        <v>174.2</v>
      </c>
      <c r="R16" s="74">
        <f>ROUND(D16*8.18,1)</f>
        <v>174.2</v>
      </c>
      <c r="S16" s="74">
        <f t="shared" si="9"/>
        <v>173.4</v>
      </c>
      <c r="T16" s="74">
        <f t="shared" ref="T16:U22" si="10">ROUND(F16*8.18,1)</f>
        <v>171</v>
      </c>
      <c r="U16" s="74">
        <f t="shared" si="10"/>
        <v>170.1</v>
      </c>
    </row>
    <row r="17" spans="1:21">
      <c r="A17" s="72" t="s">
        <v>32</v>
      </c>
      <c r="B17" s="74">
        <v>395.8</v>
      </c>
      <c r="C17" s="74">
        <v>392.4</v>
      </c>
      <c r="D17" s="74">
        <v>389.2</v>
      </c>
      <c r="E17" s="74">
        <v>386</v>
      </c>
      <c r="F17" s="74">
        <v>383.5</v>
      </c>
      <c r="G17" s="74">
        <v>380.6</v>
      </c>
      <c r="H17" s="75"/>
      <c r="I17" s="74">
        <f t="shared" si="6"/>
        <v>566</v>
      </c>
      <c r="J17" s="74">
        <f t="shared" si="6"/>
        <v>561.1</v>
      </c>
      <c r="K17" s="74">
        <f t="shared" si="6"/>
        <v>556.6</v>
      </c>
      <c r="L17" s="74">
        <f t="shared" si="6"/>
        <v>552</v>
      </c>
      <c r="M17" s="74">
        <f t="shared" si="7"/>
        <v>548.4</v>
      </c>
      <c r="N17" s="74">
        <f t="shared" si="7"/>
        <v>544.29999999999995</v>
      </c>
      <c r="O17" s="76"/>
      <c r="P17" s="74">
        <f t="shared" si="8"/>
        <v>3237.6</v>
      </c>
      <c r="Q17" s="74">
        <f>ROUNDUP(C17*8.18,1)</f>
        <v>3209.9</v>
      </c>
      <c r="R17" s="74">
        <f>ROUND(D17*8.18,1)</f>
        <v>3183.7</v>
      </c>
      <c r="S17" s="74">
        <f t="shared" si="9"/>
        <v>3157.5</v>
      </c>
      <c r="T17" s="74">
        <f t="shared" si="10"/>
        <v>3137</v>
      </c>
      <c r="U17" s="74">
        <f>ROUNDUP(G17*8.18,1)</f>
        <v>3113.4</v>
      </c>
    </row>
    <row r="18" spans="1:21">
      <c r="A18" s="72" t="s">
        <v>36</v>
      </c>
      <c r="B18" s="74">
        <v>59.2</v>
      </c>
      <c r="C18" s="74">
        <v>58.7</v>
      </c>
      <c r="D18" s="74">
        <v>58</v>
      </c>
      <c r="E18" s="74">
        <v>57.5</v>
      </c>
      <c r="F18" s="74">
        <v>57.2</v>
      </c>
      <c r="G18" s="74">
        <v>57.4</v>
      </c>
      <c r="H18" s="75"/>
      <c r="I18" s="74">
        <f t="shared" ref="I18:K22" si="11">ROUND(B18*1.43,1)</f>
        <v>84.7</v>
      </c>
      <c r="J18" s="74">
        <f t="shared" si="11"/>
        <v>83.9</v>
      </c>
      <c r="K18" s="74">
        <f t="shared" si="11"/>
        <v>82.9</v>
      </c>
      <c r="L18" s="74">
        <f>ROUNDUP(E18*1.43,1)</f>
        <v>82.3</v>
      </c>
      <c r="M18" s="74">
        <f t="shared" si="7"/>
        <v>81.8</v>
      </c>
      <c r="N18" s="74">
        <f t="shared" si="7"/>
        <v>82.1</v>
      </c>
      <c r="O18" s="76"/>
      <c r="P18" s="74">
        <f t="shared" si="8"/>
        <v>484.3</v>
      </c>
      <c r="Q18" s="74">
        <f>ROUND(C18*8.18,1)</f>
        <v>480.2</v>
      </c>
      <c r="R18" s="74">
        <f>ROUNDUP(D18*8.18,1)</f>
        <v>474.5</v>
      </c>
      <c r="S18" s="74">
        <f t="shared" si="9"/>
        <v>470.4</v>
      </c>
      <c r="T18" s="74">
        <f t="shared" si="10"/>
        <v>467.9</v>
      </c>
      <c r="U18" s="74">
        <f t="shared" si="10"/>
        <v>469.5</v>
      </c>
    </row>
    <row r="19" spans="1:21">
      <c r="A19" s="72" t="s">
        <v>34</v>
      </c>
      <c r="B19" s="74">
        <v>26.9</v>
      </c>
      <c r="C19" s="74">
        <v>26.3</v>
      </c>
      <c r="D19" s="74">
        <v>21.8</v>
      </c>
      <c r="E19" s="74">
        <v>22.6</v>
      </c>
      <c r="F19" s="74">
        <v>21.1</v>
      </c>
      <c r="G19" s="74">
        <v>21.2</v>
      </c>
      <c r="H19" s="75"/>
      <c r="I19" s="74">
        <f t="shared" si="11"/>
        <v>38.5</v>
      </c>
      <c r="J19" s="74">
        <f t="shared" si="11"/>
        <v>37.6</v>
      </c>
      <c r="K19" s="74">
        <f t="shared" si="11"/>
        <v>31.2</v>
      </c>
      <c r="L19" s="74">
        <f>ROUND(E19*1.43,1)</f>
        <v>32.299999999999997</v>
      </c>
      <c r="M19" s="74">
        <f t="shared" si="7"/>
        <v>30.2</v>
      </c>
      <c r="N19" s="74">
        <f t="shared" si="7"/>
        <v>30.3</v>
      </c>
      <c r="O19" s="76"/>
      <c r="P19" s="74">
        <f t="shared" si="8"/>
        <v>220</v>
      </c>
      <c r="Q19" s="74">
        <f>ROUND(C19*8.18,1)</f>
        <v>215.1</v>
      </c>
      <c r="R19" s="74">
        <f>ROUND(D19*8.18,1)</f>
        <v>178.3</v>
      </c>
      <c r="S19" s="74">
        <f t="shared" si="9"/>
        <v>184.9</v>
      </c>
      <c r="T19" s="74">
        <f t="shared" si="10"/>
        <v>172.6</v>
      </c>
      <c r="U19" s="74">
        <f t="shared" si="10"/>
        <v>173.4</v>
      </c>
    </row>
    <row r="20" spans="1:21">
      <c r="A20" s="72" t="s">
        <v>37</v>
      </c>
      <c r="B20" s="74">
        <v>0.1</v>
      </c>
      <c r="C20" s="74">
        <v>0.1</v>
      </c>
      <c r="D20" s="74">
        <v>0.1</v>
      </c>
      <c r="E20" s="74">
        <v>5.8</v>
      </c>
      <c r="F20" s="74">
        <v>6</v>
      </c>
      <c r="G20" s="74">
        <v>6.9</v>
      </c>
      <c r="H20" s="75"/>
      <c r="I20" s="74">
        <f t="shared" si="11"/>
        <v>0.1</v>
      </c>
      <c r="J20" s="74">
        <f t="shared" si="11"/>
        <v>0.1</v>
      </c>
      <c r="K20" s="74">
        <f t="shared" si="11"/>
        <v>0.1</v>
      </c>
      <c r="L20" s="74">
        <f>ROUND(E20*1.43,1)</f>
        <v>8.3000000000000007</v>
      </c>
      <c r="M20" s="74">
        <f t="shared" si="7"/>
        <v>8.6</v>
      </c>
      <c r="N20" s="74">
        <f t="shared" si="7"/>
        <v>9.9</v>
      </c>
      <c r="O20" s="76"/>
      <c r="P20" s="74">
        <f t="shared" si="8"/>
        <v>0.8</v>
      </c>
      <c r="Q20" s="74">
        <f>ROUND(C20*8.18,1)</f>
        <v>0.8</v>
      </c>
      <c r="R20" s="74">
        <f>ROUND(D20*8.18,1)</f>
        <v>0.8</v>
      </c>
      <c r="S20" s="74">
        <f t="shared" si="9"/>
        <v>47.4</v>
      </c>
      <c r="T20" s="74">
        <f t="shared" si="10"/>
        <v>49.1</v>
      </c>
      <c r="U20" s="74">
        <f t="shared" si="10"/>
        <v>56.4</v>
      </c>
    </row>
    <row r="21" spans="1:21" ht="13.8" thickBot="1">
      <c r="A21" s="72" t="s">
        <v>655</v>
      </c>
      <c r="B21" s="74">
        <v>24.4</v>
      </c>
      <c r="C21" s="74">
        <v>28.5</v>
      </c>
      <c r="D21" s="74">
        <v>31.9</v>
      </c>
      <c r="E21" s="74">
        <v>33.6</v>
      </c>
      <c r="F21" s="74">
        <v>65.5</v>
      </c>
      <c r="G21" s="74">
        <v>73.900000000000006</v>
      </c>
      <c r="H21" s="75"/>
      <c r="I21" s="74">
        <f t="shared" si="11"/>
        <v>34.9</v>
      </c>
      <c r="J21" s="74">
        <f t="shared" si="11"/>
        <v>40.799999999999997</v>
      </c>
      <c r="K21" s="74">
        <f t="shared" si="11"/>
        <v>45.6</v>
      </c>
      <c r="L21" s="74">
        <f>ROUND(E21*1.43,1)</f>
        <v>48</v>
      </c>
      <c r="M21" s="74">
        <f t="shared" si="7"/>
        <v>93.7</v>
      </c>
      <c r="N21" s="74">
        <f t="shared" si="7"/>
        <v>105.7</v>
      </c>
      <c r="O21" s="76"/>
      <c r="P21" s="74">
        <f t="shared" si="8"/>
        <v>199.6</v>
      </c>
      <c r="Q21" s="74">
        <f>ROUND(C21*8.18,1)</f>
        <v>233.1</v>
      </c>
      <c r="R21" s="74">
        <f>ROUND(D21*8.18,1)</f>
        <v>260.89999999999998</v>
      </c>
      <c r="S21" s="74">
        <f t="shared" si="9"/>
        <v>274.8</v>
      </c>
      <c r="T21" s="74">
        <f t="shared" si="10"/>
        <v>535.79999999999995</v>
      </c>
      <c r="U21" s="74">
        <f t="shared" si="10"/>
        <v>604.5</v>
      </c>
    </row>
    <row r="22" spans="1:21">
      <c r="A22" s="77" t="s">
        <v>580</v>
      </c>
      <c r="B22" s="78">
        <v>1216.3</v>
      </c>
      <c r="C22" s="78">
        <v>1217</v>
      </c>
      <c r="D22" s="78">
        <v>1212.5</v>
      </c>
      <c r="E22" s="78">
        <v>1287.0999999999999</v>
      </c>
      <c r="F22" s="78">
        <v>1325.1</v>
      </c>
      <c r="G22" s="78">
        <v>1284.8</v>
      </c>
      <c r="H22" s="79"/>
      <c r="I22" s="78">
        <f t="shared" si="11"/>
        <v>1739.3</v>
      </c>
      <c r="J22" s="78">
        <f t="shared" si="11"/>
        <v>1740.3</v>
      </c>
      <c r="K22" s="78">
        <f t="shared" si="11"/>
        <v>1733.9</v>
      </c>
      <c r="L22" s="78">
        <f>ROUND(E22*1.43,1)</f>
        <v>1840.6</v>
      </c>
      <c r="M22" s="78">
        <f t="shared" si="7"/>
        <v>1894.9</v>
      </c>
      <c r="N22" s="78">
        <f t="shared" si="7"/>
        <v>1837.3</v>
      </c>
      <c r="O22" s="80"/>
      <c r="P22" s="78">
        <f t="shared" si="8"/>
        <v>9949.2999999999993</v>
      </c>
      <c r="Q22" s="78">
        <f>ROUND(C22*8.18,1)</f>
        <v>9955.1</v>
      </c>
      <c r="R22" s="78">
        <f>ROUND(D22*8.18,1)</f>
        <v>9918.2999999999993</v>
      </c>
      <c r="S22" s="78">
        <f t="shared" si="9"/>
        <v>10528.5</v>
      </c>
      <c r="T22" s="78">
        <f t="shared" si="10"/>
        <v>10839.3</v>
      </c>
      <c r="U22" s="78">
        <f t="shared" si="10"/>
        <v>10509.7</v>
      </c>
    </row>
    <row r="23" spans="1:21" ht="13.2" customHeight="1">
      <c r="A23" s="34"/>
      <c r="B23" s="511" t="s">
        <v>574</v>
      </c>
      <c r="C23" s="511"/>
      <c r="D23" s="511"/>
      <c r="E23" s="511"/>
      <c r="F23" s="511"/>
      <c r="G23" s="511"/>
      <c r="H23" s="35"/>
      <c r="I23" s="511" t="s">
        <v>42</v>
      </c>
      <c r="J23" s="511"/>
      <c r="K23" s="511"/>
      <c r="L23" s="511"/>
      <c r="M23" s="511"/>
      <c r="N23" s="511"/>
      <c r="O23" s="35"/>
      <c r="P23" s="511" t="s">
        <v>496</v>
      </c>
      <c r="Q23" s="511"/>
      <c r="R23" s="511"/>
      <c r="S23" s="511"/>
      <c r="T23" s="511"/>
      <c r="U23" s="511"/>
    </row>
    <row r="24" spans="1:21">
      <c r="A24" s="72" t="s">
        <v>30</v>
      </c>
      <c r="B24" s="74">
        <v>1152</v>
      </c>
      <c r="C24" s="74">
        <v>1146</v>
      </c>
      <c r="D24" s="74">
        <v>1261.0999999999999</v>
      </c>
      <c r="E24" s="74">
        <v>1303.0999999999999</v>
      </c>
      <c r="F24" s="74">
        <v>1461.6</v>
      </c>
      <c r="G24" s="74">
        <v>1400.1</v>
      </c>
      <c r="H24" s="76"/>
      <c r="I24" s="74">
        <f>ROUNDDOWN(B24*1.43,1)</f>
        <v>1647.3</v>
      </c>
      <c r="J24" s="74">
        <f t="shared" ref="J24:L27" si="12">ROUND(C24*1.43,1)</f>
        <v>1638.8</v>
      </c>
      <c r="K24" s="74">
        <f t="shared" si="12"/>
        <v>1803.4</v>
      </c>
      <c r="L24" s="74">
        <f t="shared" si="12"/>
        <v>1863.4</v>
      </c>
      <c r="M24" s="74">
        <f>ROUNDDOWN(F24*1.43,1)</f>
        <v>2090</v>
      </c>
      <c r="N24" s="74">
        <f t="shared" ref="M24:N31" si="13">ROUND(G24*1.43,1)</f>
        <v>2002.1</v>
      </c>
      <c r="O24" s="76"/>
      <c r="P24" s="74">
        <f t="shared" ref="P24:R31" si="14">ROUND(B24*7.33,1)</f>
        <v>8444.2000000000007</v>
      </c>
      <c r="Q24" s="74">
        <f t="shared" si="14"/>
        <v>8400.2000000000007</v>
      </c>
      <c r="R24" s="74">
        <f t="shared" si="14"/>
        <v>9243.9</v>
      </c>
      <c r="S24" s="74">
        <f>ROUNDUP(E24*7.33,1)</f>
        <v>9551.8000000000011</v>
      </c>
      <c r="T24" s="74">
        <f>ROUNDUP(F24*7.33,1)</f>
        <v>10713.6</v>
      </c>
      <c r="U24" s="74">
        <f>ROUNDUP(G24*7.33,1)</f>
        <v>10262.800000000001</v>
      </c>
    </row>
    <row r="25" spans="1:21" ht="12.75" customHeight="1">
      <c r="A25" s="72" t="s">
        <v>31</v>
      </c>
      <c r="B25" s="74">
        <v>2.1</v>
      </c>
      <c r="C25" s="74">
        <v>13.5</v>
      </c>
      <c r="D25" s="74">
        <v>14.2</v>
      </c>
      <c r="E25" s="74">
        <v>15.7</v>
      </c>
      <c r="F25" s="74">
        <v>16.899999999999999</v>
      </c>
      <c r="G25" s="74">
        <v>17.3</v>
      </c>
      <c r="H25" s="76"/>
      <c r="I25" s="74">
        <f t="shared" ref="I25:I31" si="15">ROUND(B25*1.43,1)</f>
        <v>3</v>
      </c>
      <c r="J25" s="74">
        <f t="shared" si="12"/>
        <v>19.3</v>
      </c>
      <c r="K25" s="74">
        <f t="shared" si="12"/>
        <v>20.3</v>
      </c>
      <c r="L25" s="74">
        <f t="shared" si="12"/>
        <v>22.5</v>
      </c>
      <c r="M25" s="74">
        <f t="shared" si="13"/>
        <v>24.2</v>
      </c>
      <c r="N25" s="74">
        <f t="shared" si="13"/>
        <v>24.7</v>
      </c>
      <c r="O25" s="76"/>
      <c r="P25" s="74">
        <f t="shared" si="14"/>
        <v>15.4</v>
      </c>
      <c r="Q25" s="74">
        <f t="shared" si="14"/>
        <v>99</v>
      </c>
      <c r="R25" s="74">
        <f t="shared" si="14"/>
        <v>104.1</v>
      </c>
      <c r="S25" s="74">
        <f t="shared" ref="S25:U31" si="16">ROUND(E25*7.33,1)</f>
        <v>115.1</v>
      </c>
      <c r="T25" s="74">
        <f t="shared" si="16"/>
        <v>123.9</v>
      </c>
      <c r="U25" s="74">
        <f t="shared" si="16"/>
        <v>126.8</v>
      </c>
    </row>
    <row r="26" spans="1:21">
      <c r="A26" s="72" t="s">
        <v>32</v>
      </c>
      <c r="B26" s="74">
        <v>3.5</v>
      </c>
      <c r="C26" s="74">
        <v>4.5</v>
      </c>
      <c r="D26" s="74">
        <v>5.4</v>
      </c>
      <c r="E26" s="74">
        <v>8.8000000000000007</v>
      </c>
      <c r="F26" s="74">
        <v>9.6999999999999993</v>
      </c>
      <c r="G26" s="74">
        <v>10.6</v>
      </c>
      <c r="H26" s="76"/>
      <c r="I26" s="74">
        <f t="shared" si="15"/>
        <v>5</v>
      </c>
      <c r="J26" s="74">
        <f t="shared" si="12"/>
        <v>6.4</v>
      </c>
      <c r="K26" s="74">
        <f t="shared" si="12"/>
        <v>7.7</v>
      </c>
      <c r="L26" s="74">
        <f t="shared" si="12"/>
        <v>12.6</v>
      </c>
      <c r="M26" s="74">
        <f t="shared" si="13"/>
        <v>13.9</v>
      </c>
      <c r="N26" s="74">
        <f t="shared" si="13"/>
        <v>15.2</v>
      </c>
      <c r="O26" s="76"/>
      <c r="P26" s="74">
        <f t="shared" si="14"/>
        <v>25.7</v>
      </c>
      <c r="Q26" s="74">
        <f t="shared" si="14"/>
        <v>33</v>
      </c>
      <c r="R26" s="74">
        <f t="shared" si="14"/>
        <v>39.6</v>
      </c>
      <c r="S26" s="74">
        <f t="shared" si="16"/>
        <v>64.5</v>
      </c>
      <c r="T26" s="74">
        <f t="shared" si="16"/>
        <v>71.099999999999994</v>
      </c>
      <c r="U26" s="74">
        <f t="shared" si="16"/>
        <v>77.7</v>
      </c>
    </row>
    <row r="27" spans="1:21">
      <c r="A27" s="72" t="s">
        <v>33</v>
      </c>
      <c r="B27" s="74">
        <v>118.6</v>
      </c>
      <c r="C27" s="74">
        <v>134.30000000000001</v>
      </c>
      <c r="D27" s="74">
        <v>133.9</v>
      </c>
      <c r="E27" s="74">
        <v>133.30000000000001</v>
      </c>
      <c r="F27" s="74">
        <v>145.1</v>
      </c>
      <c r="G27" s="74">
        <v>144.5</v>
      </c>
      <c r="H27" s="76"/>
      <c r="I27" s="74">
        <f t="shared" si="15"/>
        <v>169.6</v>
      </c>
      <c r="J27" s="74">
        <f t="shared" si="12"/>
        <v>192</v>
      </c>
      <c r="K27" s="74">
        <f t="shared" si="12"/>
        <v>191.5</v>
      </c>
      <c r="L27" s="74">
        <f t="shared" si="12"/>
        <v>190.6</v>
      </c>
      <c r="M27" s="74">
        <f t="shared" si="13"/>
        <v>207.5</v>
      </c>
      <c r="N27" s="74">
        <f t="shared" si="13"/>
        <v>206.6</v>
      </c>
      <c r="O27" s="76"/>
      <c r="P27" s="74">
        <f t="shared" si="14"/>
        <v>869.3</v>
      </c>
      <c r="Q27" s="74">
        <f t="shared" si="14"/>
        <v>984.4</v>
      </c>
      <c r="R27" s="74">
        <f t="shared" si="14"/>
        <v>981.5</v>
      </c>
      <c r="S27" s="74">
        <f t="shared" si="16"/>
        <v>977.1</v>
      </c>
      <c r="T27" s="74">
        <f t="shared" si="16"/>
        <v>1063.5999999999999</v>
      </c>
      <c r="U27" s="74">
        <f t="shared" si="16"/>
        <v>1059.2</v>
      </c>
    </row>
    <row r="28" spans="1:21">
      <c r="A28" s="72" t="s">
        <v>34</v>
      </c>
      <c r="B28" s="74">
        <v>31.3</v>
      </c>
      <c r="C28" s="74">
        <v>38.5</v>
      </c>
      <c r="D28" s="74">
        <v>44.6</v>
      </c>
      <c r="E28" s="74">
        <v>47.6</v>
      </c>
      <c r="F28" s="74">
        <v>58.3</v>
      </c>
      <c r="G28" s="74">
        <v>61.9</v>
      </c>
      <c r="H28" s="76"/>
      <c r="I28" s="74">
        <f t="shared" si="15"/>
        <v>44.8</v>
      </c>
      <c r="J28" s="74">
        <f t="shared" ref="J28:K31" si="17">ROUND(C28*1.43,1)</f>
        <v>55.1</v>
      </c>
      <c r="K28" s="74">
        <f t="shared" si="17"/>
        <v>63.8</v>
      </c>
      <c r="L28" s="74">
        <f>ROUNDDOWN(E28*1.43,1)</f>
        <v>68</v>
      </c>
      <c r="M28" s="74">
        <f t="shared" si="13"/>
        <v>83.4</v>
      </c>
      <c r="N28" s="74">
        <f t="shared" si="13"/>
        <v>88.5</v>
      </c>
      <c r="O28" s="76"/>
      <c r="P28" s="74">
        <f t="shared" si="14"/>
        <v>229.4</v>
      </c>
      <c r="Q28" s="74">
        <f t="shared" si="14"/>
        <v>282.2</v>
      </c>
      <c r="R28" s="74">
        <f t="shared" si="14"/>
        <v>326.89999999999998</v>
      </c>
      <c r="S28" s="74">
        <f t="shared" si="16"/>
        <v>348.9</v>
      </c>
      <c r="T28" s="74">
        <f t="shared" si="16"/>
        <v>427.3</v>
      </c>
      <c r="U28" s="74">
        <f t="shared" si="16"/>
        <v>453.7</v>
      </c>
    </row>
    <row r="29" spans="1:21">
      <c r="A29" s="72" t="s">
        <v>35</v>
      </c>
      <c r="B29" s="74">
        <v>2.7</v>
      </c>
      <c r="C29" s="74">
        <v>2.7</v>
      </c>
      <c r="D29" s="74">
        <v>3.3</v>
      </c>
      <c r="E29" s="74">
        <v>45.8</v>
      </c>
      <c r="F29" s="74">
        <v>46</v>
      </c>
      <c r="G29" s="74">
        <v>51.1</v>
      </c>
      <c r="H29" s="76"/>
      <c r="I29" s="74">
        <f t="shared" si="15"/>
        <v>3.9</v>
      </c>
      <c r="J29" s="74">
        <f t="shared" si="17"/>
        <v>3.9</v>
      </c>
      <c r="K29" s="74">
        <f t="shared" si="17"/>
        <v>4.7</v>
      </c>
      <c r="L29" s="74">
        <f>ROUND(E29*1.43,1)</f>
        <v>65.5</v>
      </c>
      <c r="M29" s="74">
        <f t="shared" si="13"/>
        <v>65.8</v>
      </c>
      <c r="N29" s="74">
        <f t="shared" si="13"/>
        <v>73.099999999999994</v>
      </c>
      <c r="O29" s="76"/>
      <c r="P29" s="74">
        <f t="shared" si="14"/>
        <v>19.8</v>
      </c>
      <c r="Q29" s="74">
        <f t="shared" si="14"/>
        <v>19.8</v>
      </c>
      <c r="R29" s="74">
        <f t="shared" si="14"/>
        <v>24.2</v>
      </c>
      <c r="S29" s="74">
        <f t="shared" si="16"/>
        <v>335.7</v>
      </c>
      <c r="T29" s="74">
        <f t="shared" si="16"/>
        <v>337.2</v>
      </c>
      <c r="U29" s="74">
        <f t="shared" si="16"/>
        <v>374.6</v>
      </c>
    </row>
    <row r="30" spans="1:21" ht="13.8" thickBot="1">
      <c r="A30" s="72" t="s">
        <v>655</v>
      </c>
      <c r="B30" s="74">
        <v>47.3</v>
      </c>
      <c r="C30" s="74">
        <v>47.4</v>
      </c>
      <c r="D30" s="74">
        <v>47.4</v>
      </c>
      <c r="E30" s="74">
        <v>47.4</v>
      </c>
      <c r="F30" s="74">
        <v>47.4</v>
      </c>
      <c r="G30" s="74">
        <v>47.4</v>
      </c>
      <c r="H30" s="76"/>
      <c r="I30" s="74">
        <f t="shared" si="15"/>
        <v>67.599999999999994</v>
      </c>
      <c r="J30" s="74">
        <f t="shared" si="17"/>
        <v>67.8</v>
      </c>
      <c r="K30" s="74">
        <f t="shared" si="17"/>
        <v>67.8</v>
      </c>
      <c r="L30" s="74">
        <f>ROUND(E30*1.43,1)</f>
        <v>67.8</v>
      </c>
      <c r="M30" s="74">
        <f t="shared" si="13"/>
        <v>67.8</v>
      </c>
      <c r="N30" s="74">
        <f t="shared" si="13"/>
        <v>67.8</v>
      </c>
      <c r="O30" s="76"/>
      <c r="P30" s="74">
        <f t="shared" si="14"/>
        <v>346.7</v>
      </c>
      <c r="Q30" s="74">
        <f t="shared" si="14"/>
        <v>347.4</v>
      </c>
      <c r="R30" s="74">
        <f t="shared" si="14"/>
        <v>347.4</v>
      </c>
      <c r="S30" s="74">
        <f t="shared" si="16"/>
        <v>347.4</v>
      </c>
      <c r="T30" s="74">
        <f t="shared" si="16"/>
        <v>347.4</v>
      </c>
      <c r="U30" s="74">
        <f t="shared" si="16"/>
        <v>347.4</v>
      </c>
    </row>
    <row r="31" spans="1:21">
      <c r="A31" s="77" t="s">
        <v>580</v>
      </c>
      <c r="B31" s="78">
        <v>1357.5</v>
      </c>
      <c r="C31" s="78">
        <v>1386.9</v>
      </c>
      <c r="D31" s="78">
        <v>1509.9</v>
      </c>
      <c r="E31" s="78">
        <v>1601.7</v>
      </c>
      <c r="F31" s="78">
        <v>1785</v>
      </c>
      <c r="G31" s="78">
        <v>1732.9</v>
      </c>
      <c r="H31" s="80"/>
      <c r="I31" s="78">
        <f t="shared" si="15"/>
        <v>1941.2</v>
      </c>
      <c r="J31" s="78">
        <f t="shared" si="17"/>
        <v>1983.3</v>
      </c>
      <c r="K31" s="78">
        <f t="shared" si="17"/>
        <v>2159.1999999999998</v>
      </c>
      <c r="L31" s="78">
        <f>ROUND(E31*1.43,1)</f>
        <v>2290.4</v>
      </c>
      <c r="M31" s="78">
        <f t="shared" si="13"/>
        <v>2552.6</v>
      </c>
      <c r="N31" s="78">
        <f t="shared" si="13"/>
        <v>2478</v>
      </c>
      <c r="O31" s="80"/>
      <c r="P31" s="78">
        <f t="shared" si="14"/>
        <v>9950.5</v>
      </c>
      <c r="Q31" s="78">
        <f t="shared" si="14"/>
        <v>10166</v>
      </c>
      <c r="R31" s="78">
        <f t="shared" si="14"/>
        <v>11067.6</v>
      </c>
      <c r="S31" s="78">
        <f t="shared" si="16"/>
        <v>11740.5</v>
      </c>
      <c r="T31" s="78">
        <f t="shared" si="16"/>
        <v>13084.1</v>
      </c>
      <c r="U31" s="78">
        <f t="shared" si="16"/>
        <v>12702.2</v>
      </c>
    </row>
    <row r="32" spans="1:21" ht="13.2" customHeight="1">
      <c r="A32" s="34"/>
      <c r="B32" s="511"/>
      <c r="C32" s="511"/>
      <c r="D32" s="511"/>
      <c r="E32" s="511"/>
      <c r="F32" s="511"/>
      <c r="G32" s="511"/>
      <c r="H32" s="35"/>
      <c r="I32" s="511" t="s">
        <v>394</v>
      </c>
      <c r="J32" s="511"/>
      <c r="K32" s="511"/>
      <c r="L32" s="511"/>
      <c r="M32" s="511"/>
      <c r="N32" s="511"/>
      <c r="O32" s="35"/>
      <c r="P32" s="511" t="s">
        <v>395</v>
      </c>
      <c r="Q32" s="511"/>
      <c r="R32" s="511"/>
      <c r="S32" s="511"/>
      <c r="T32" s="511"/>
      <c r="U32" s="511"/>
    </row>
    <row r="33" spans="1:21">
      <c r="A33" s="72" t="s">
        <v>30</v>
      </c>
      <c r="B33" s="84" t="s">
        <v>38</v>
      </c>
      <c r="C33" s="84" t="s">
        <v>38</v>
      </c>
      <c r="D33" s="84" t="s">
        <v>38</v>
      </c>
      <c r="E33" s="84" t="s">
        <v>38</v>
      </c>
      <c r="F33" s="84" t="s">
        <v>38</v>
      </c>
      <c r="G33" s="84" t="s">
        <v>38</v>
      </c>
      <c r="H33" s="75"/>
      <c r="I33" s="85">
        <f t="shared" ref="I33:N40" si="18">I5+I15+I24</f>
        <v>28413.4</v>
      </c>
      <c r="J33" s="85">
        <f t="shared" si="18"/>
        <v>27940.699999999997</v>
      </c>
      <c r="K33" s="85">
        <f t="shared" si="18"/>
        <v>27617.7</v>
      </c>
      <c r="L33" s="85">
        <f t="shared" si="18"/>
        <v>30952.9</v>
      </c>
      <c r="M33" s="85">
        <f t="shared" si="18"/>
        <v>31339.1</v>
      </c>
      <c r="N33" s="85">
        <f t="shared" si="18"/>
        <v>30233.499999999996</v>
      </c>
      <c r="O33" s="76"/>
      <c r="P33" s="85">
        <f t="shared" ref="P33:U40" si="19">P5+P15+P24</f>
        <v>145664.90000000002</v>
      </c>
      <c r="Q33" s="85">
        <f t="shared" si="19"/>
        <v>143252.70000000001</v>
      </c>
      <c r="R33" s="85">
        <f t="shared" si="19"/>
        <v>141607.79999999999</v>
      </c>
      <c r="S33" s="85">
        <f t="shared" si="19"/>
        <v>158693.9</v>
      </c>
      <c r="T33" s="85">
        <f t="shared" si="19"/>
        <v>160680.1</v>
      </c>
      <c r="U33" s="85">
        <f t="shared" si="19"/>
        <v>154993.59999999998</v>
      </c>
    </row>
    <row r="34" spans="1:21">
      <c r="A34" s="72" t="s">
        <v>31</v>
      </c>
      <c r="B34" s="84" t="s">
        <v>38</v>
      </c>
      <c r="C34" s="84" t="s">
        <v>38</v>
      </c>
      <c r="D34" s="84" t="s">
        <v>38</v>
      </c>
      <c r="E34" s="84" t="s">
        <v>38</v>
      </c>
      <c r="F34" s="84" t="s">
        <v>38</v>
      </c>
      <c r="G34" s="84" t="s">
        <v>38</v>
      </c>
      <c r="H34" s="75"/>
      <c r="I34" s="85">
        <f t="shared" si="18"/>
        <v>142.4</v>
      </c>
      <c r="J34" s="85">
        <f t="shared" si="18"/>
        <v>157.4</v>
      </c>
      <c r="K34" s="85">
        <f t="shared" si="18"/>
        <v>158.5</v>
      </c>
      <c r="L34" s="85">
        <f t="shared" si="18"/>
        <v>159.20000000000002</v>
      </c>
      <c r="M34" s="85">
        <f t="shared" si="18"/>
        <v>158.39999999999998</v>
      </c>
      <c r="N34" s="85">
        <f t="shared" si="18"/>
        <v>157.49999999999997</v>
      </c>
      <c r="O34" s="76"/>
      <c r="P34" s="85">
        <f t="shared" si="19"/>
        <v>746.09999999999991</v>
      </c>
      <c r="Q34" s="85">
        <f t="shared" si="19"/>
        <v>822.09999999999991</v>
      </c>
      <c r="R34" s="85">
        <f t="shared" si="19"/>
        <v>827.80000000000007</v>
      </c>
      <c r="S34" s="85">
        <f t="shared" si="19"/>
        <v>831.6</v>
      </c>
      <c r="T34" s="85">
        <f t="shared" si="19"/>
        <v>827.4</v>
      </c>
      <c r="U34" s="85">
        <f t="shared" si="19"/>
        <v>822.9</v>
      </c>
    </row>
    <row r="35" spans="1:21">
      <c r="A35" s="72" t="s">
        <v>32</v>
      </c>
      <c r="B35" s="84" t="s">
        <v>38</v>
      </c>
      <c r="C35" s="84" t="s">
        <v>38</v>
      </c>
      <c r="D35" s="84" t="s">
        <v>38</v>
      </c>
      <c r="E35" s="84" t="s">
        <v>38</v>
      </c>
      <c r="F35" s="84" t="s">
        <v>38</v>
      </c>
      <c r="G35" s="84" t="s">
        <v>38</v>
      </c>
      <c r="H35" s="75"/>
      <c r="I35" s="85">
        <f t="shared" si="18"/>
        <v>3590.6</v>
      </c>
      <c r="J35" s="85">
        <f t="shared" si="18"/>
        <v>3561.9</v>
      </c>
      <c r="K35" s="85">
        <f t="shared" si="18"/>
        <v>3543.7</v>
      </c>
      <c r="L35" s="85">
        <f t="shared" si="18"/>
        <v>3529.2</v>
      </c>
      <c r="M35" s="85">
        <f t="shared" si="18"/>
        <v>3517.4</v>
      </c>
      <c r="N35" s="85">
        <f t="shared" si="18"/>
        <v>3496.8999999999996</v>
      </c>
      <c r="O35" s="76"/>
      <c r="P35" s="85">
        <f t="shared" si="19"/>
        <v>18675.099999999999</v>
      </c>
      <c r="Q35" s="85">
        <f t="shared" si="19"/>
        <v>18526.3</v>
      </c>
      <c r="R35" s="85">
        <f t="shared" si="19"/>
        <v>18430.099999999999</v>
      </c>
      <c r="S35" s="85">
        <f t="shared" si="19"/>
        <v>18353.400000000001</v>
      </c>
      <c r="T35" s="85">
        <f t="shared" si="19"/>
        <v>18290.599999999999</v>
      </c>
      <c r="U35" s="85">
        <f t="shared" si="19"/>
        <v>18183.5</v>
      </c>
    </row>
    <row r="36" spans="1:21">
      <c r="A36" s="72" t="s">
        <v>33</v>
      </c>
      <c r="B36" s="84" t="s">
        <v>38</v>
      </c>
      <c r="C36" s="84" t="s">
        <v>38</v>
      </c>
      <c r="D36" s="84" t="s">
        <v>38</v>
      </c>
      <c r="E36" s="84" t="s">
        <v>38</v>
      </c>
      <c r="F36" s="84" t="s">
        <v>38</v>
      </c>
      <c r="G36" s="84" t="s">
        <v>38</v>
      </c>
      <c r="H36" s="75"/>
      <c r="I36" s="85">
        <f t="shared" si="18"/>
        <v>1212.5999999999999</v>
      </c>
      <c r="J36" s="85">
        <f t="shared" si="18"/>
        <v>1211.3</v>
      </c>
      <c r="K36" s="85">
        <f t="shared" si="18"/>
        <v>1189.3</v>
      </c>
      <c r="L36" s="85">
        <f t="shared" si="18"/>
        <v>1166.8999999999999</v>
      </c>
      <c r="M36" s="85">
        <f t="shared" si="18"/>
        <v>1164.5999999999999</v>
      </c>
      <c r="N36" s="85">
        <f t="shared" si="18"/>
        <v>1155.7</v>
      </c>
      <c r="O36" s="76"/>
      <c r="P36" s="85">
        <f t="shared" si="19"/>
        <v>6244.7000000000007</v>
      </c>
      <c r="Q36" s="85">
        <f t="shared" si="19"/>
        <v>6238.9999999999991</v>
      </c>
      <c r="R36" s="85">
        <f t="shared" si="19"/>
        <v>6125.6</v>
      </c>
      <c r="S36" s="85">
        <f t="shared" si="19"/>
        <v>6010.5</v>
      </c>
      <c r="T36" s="85">
        <f t="shared" si="19"/>
        <v>5999.1</v>
      </c>
      <c r="U36" s="85">
        <f t="shared" si="19"/>
        <v>5953.9</v>
      </c>
    </row>
    <row r="37" spans="1:21">
      <c r="A37" s="72" t="s">
        <v>34</v>
      </c>
      <c r="B37" s="84" t="s">
        <v>38</v>
      </c>
      <c r="C37" s="84" t="s">
        <v>38</v>
      </c>
      <c r="D37" s="84" t="s">
        <v>38</v>
      </c>
      <c r="E37" s="84" t="s">
        <v>38</v>
      </c>
      <c r="F37" s="84" t="s">
        <v>38</v>
      </c>
      <c r="G37" s="84" t="s">
        <v>38</v>
      </c>
      <c r="H37" s="75"/>
      <c r="I37" s="85">
        <f t="shared" si="18"/>
        <v>434</v>
      </c>
      <c r="J37" s="85">
        <f t="shared" si="18"/>
        <v>433.1</v>
      </c>
      <c r="K37" s="85">
        <f t="shared" si="18"/>
        <v>412.9</v>
      </c>
      <c r="L37" s="85">
        <f t="shared" si="18"/>
        <v>436.90000000000003</v>
      </c>
      <c r="M37" s="85">
        <f t="shared" si="18"/>
        <v>442.1</v>
      </c>
      <c r="N37" s="85">
        <f t="shared" si="18"/>
        <v>474.6</v>
      </c>
      <c r="O37" s="76"/>
      <c r="P37" s="85">
        <f t="shared" si="19"/>
        <v>2239.4</v>
      </c>
      <c r="Q37" s="85">
        <f t="shared" si="19"/>
        <v>2234.8999999999996</v>
      </c>
      <c r="R37" s="85">
        <f t="shared" si="19"/>
        <v>2127.9</v>
      </c>
      <c r="S37" s="85">
        <f t="shared" si="19"/>
        <v>2251.9</v>
      </c>
      <c r="T37" s="85">
        <f t="shared" si="19"/>
        <v>2276.8000000000002</v>
      </c>
      <c r="U37" s="85">
        <f t="shared" si="19"/>
        <v>2443</v>
      </c>
    </row>
    <row r="38" spans="1:21">
      <c r="A38" s="72" t="s">
        <v>35</v>
      </c>
      <c r="B38" s="84" t="s">
        <v>38</v>
      </c>
      <c r="C38" s="84" t="s">
        <v>38</v>
      </c>
      <c r="D38" s="84" t="s">
        <v>38</v>
      </c>
      <c r="E38" s="84" t="s">
        <v>38</v>
      </c>
      <c r="F38" s="84" t="s">
        <v>38</v>
      </c>
      <c r="G38" s="84" t="s">
        <v>38</v>
      </c>
      <c r="H38" s="75"/>
      <c r="I38" s="85">
        <f t="shared" si="18"/>
        <v>14.2</v>
      </c>
      <c r="J38" s="85">
        <f t="shared" si="18"/>
        <v>14.2</v>
      </c>
      <c r="K38" s="85">
        <f t="shared" si="18"/>
        <v>30.2</v>
      </c>
      <c r="L38" s="85">
        <f t="shared" si="18"/>
        <v>537.40000000000009</v>
      </c>
      <c r="M38" s="85">
        <f t="shared" si="18"/>
        <v>538.5</v>
      </c>
      <c r="N38" s="85">
        <f t="shared" si="18"/>
        <v>609.9</v>
      </c>
      <c r="O38" s="76"/>
      <c r="P38" s="85">
        <f t="shared" si="19"/>
        <v>72.399999999999991</v>
      </c>
      <c r="Q38" s="85">
        <f t="shared" si="19"/>
        <v>72.399999999999991</v>
      </c>
      <c r="R38" s="85">
        <f t="shared" si="19"/>
        <v>154.6</v>
      </c>
      <c r="S38" s="85">
        <f t="shared" si="19"/>
        <v>2749.1</v>
      </c>
      <c r="T38" s="85">
        <f t="shared" si="19"/>
        <v>2755.2999999999997</v>
      </c>
      <c r="U38" s="85">
        <f t="shared" si="19"/>
        <v>3120.4</v>
      </c>
    </row>
    <row r="39" spans="1:21" ht="13.8" thickBot="1">
      <c r="A39" s="72" t="s">
        <v>655</v>
      </c>
      <c r="B39" s="84" t="s">
        <v>38</v>
      </c>
      <c r="C39" s="84" t="s">
        <v>38</v>
      </c>
      <c r="D39" s="84" t="s">
        <v>38</v>
      </c>
      <c r="E39" s="84" t="s">
        <v>38</v>
      </c>
      <c r="F39" s="84" t="s">
        <v>38</v>
      </c>
      <c r="G39" s="84" t="s">
        <v>38</v>
      </c>
      <c r="H39" s="75"/>
      <c r="I39" s="85">
        <f t="shared" si="18"/>
        <v>3490.1</v>
      </c>
      <c r="J39" s="85">
        <f t="shared" si="18"/>
        <v>4856.7000000000007</v>
      </c>
      <c r="K39" s="85">
        <f t="shared" si="18"/>
        <v>5313.2000000000007</v>
      </c>
      <c r="L39" s="85">
        <f t="shared" si="18"/>
        <v>5572.7</v>
      </c>
      <c r="M39" s="85">
        <f t="shared" si="18"/>
        <v>6036.9</v>
      </c>
      <c r="N39" s="85">
        <f t="shared" si="18"/>
        <v>6329.6</v>
      </c>
      <c r="O39" s="76"/>
      <c r="P39" s="85">
        <f t="shared" si="19"/>
        <v>17837</v>
      </c>
      <c r="Q39" s="85">
        <f t="shared" si="19"/>
        <v>24814.9</v>
      </c>
      <c r="R39" s="85">
        <f t="shared" si="19"/>
        <v>27148.100000000002</v>
      </c>
      <c r="S39" s="85">
        <f t="shared" si="19"/>
        <v>28474.2</v>
      </c>
      <c r="T39" s="85">
        <f t="shared" si="19"/>
        <v>30870.9</v>
      </c>
      <c r="U39" s="85">
        <f t="shared" si="19"/>
        <v>32372.600000000002</v>
      </c>
    </row>
    <row r="40" spans="1:21" ht="13.8" thickBot="1">
      <c r="A40" s="86" t="s">
        <v>580</v>
      </c>
      <c r="B40" s="87" t="s">
        <v>38</v>
      </c>
      <c r="C40" s="87" t="s">
        <v>38</v>
      </c>
      <c r="D40" s="87" t="s">
        <v>38</v>
      </c>
      <c r="E40" s="87" t="s">
        <v>38</v>
      </c>
      <c r="F40" s="87" t="s">
        <v>38</v>
      </c>
      <c r="G40" s="87" t="s">
        <v>38</v>
      </c>
      <c r="H40" s="79"/>
      <c r="I40" s="88">
        <f t="shared" si="18"/>
        <v>37297.300000000003</v>
      </c>
      <c r="J40" s="88">
        <f t="shared" si="18"/>
        <v>38175.300000000003</v>
      </c>
      <c r="K40" s="88">
        <f t="shared" si="18"/>
        <v>38265.5</v>
      </c>
      <c r="L40" s="88">
        <f t="shared" si="18"/>
        <v>42355.199999999997</v>
      </c>
      <c r="M40" s="88">
        <f t="shared" si="18"/>
        <v>43197</v>
      </c>
      <c r="N40" s="88">
        <f t="shared" si="18"/>
        <v>42457.700000000004</v>
      </c>
      <c r="O40" s="80"/>
      <c r="P40" s="88">
        <f t="shared" si="19"/>
        <v>191479.59999999998</v>
      </c>
      <c r="Q40" s="88">
        <f t="shared" si="19"/>
        <v>195962.30000000002</v>
      </c>
      <c r="R40" s="88">
        <f t="shared" si="19"/>
        <v>196421.9</v>
      </c>
      <c r="S40" s="88">
        <f t="shared" si="19"/>
        <v>217364.6</v>
      </c>
      <c r="T40" s="88">
        <f t="shared" si="19"/>
        <v>221700.19999999998</v>
      </c>
      <c r="U40" s="88">
        <f t="shared" si="19"/>
        <v>217889.90000000002</v>
      </c>
    </row>
    <row r="41" spans="1:21" ht="16.2" thickTop="1">
      <c r="A41" s="89" t="s">
        <v>39</v>
      </c>
      <c r="B41" s="28"/>
      <c r="C41" s="28"/>
      <c r="D41" s="28"/>
      <c r="E41" s="28"/>
      <c r="F41" s="28"/>
      <c r="G41" s="28"/>
      <c r="H41" s="29"/>
      <c r="I41" s="28"/>
      <c r="J41" s="28"/>
      <c r="K41" s="28"/>
      <c r="L41" s="28"/>
      <c r="M41" s="28"/>
      <c r="N41" s="28"/>
      <c r="O41" s="29"/>
      <c r="P41" s="28"/>
      <c r="Q41" s="28"/>
      <c r="R41" s="28"/>
      <c r="S41" s="28"/>
      <c r="T41" s="28"/>
      <c r="U41" s="28"/>
    </row>
    <row r="42" spans="1:21">
      <c r="A42" s="20" t="s">
        <v>776</v>
      </c>
      <c r="B42" s="20"/>
      <c r="C42" s="20"/>
      <c r="D42" s="20"/>
      <c r="E42" s="20"/>
      <c r="F42" s="20"/>
      <c r="G42" s="20"/>
      <c r="H42" s="20"/>
    </row>
    <row r="43" spans="1:21" hidden="1"/>
    <row r="44" spans="1:21" hidden="1"/>
    <row r="45" spans="1:21" hidden="1"/>
  </sheetData>
  <sheetProtection password="CAF1" sheet="1" objects="1" scenarios="1" formatCells="0" formatColumns="0" formatRows="0" insertColumns="0" insertRows="0" insertHyperlinks="0" deleteColumns="0" deleteRows="0" sort="0" autoFilter="0" pivotTables="0"/>
  <mergeCells count="16">
    <mergeCell ref="B4:G4"/>
    <mergeCell ref="I4:N4"/>
    <mergeCell ref="P4:U4"/>
    <mergeCell ref="A2:A3"/>
    <mergeCell ref="I2:N2"/>
    <mergeCell ref="P2:U2"/>
    <mergeCell ref="B2:G2"/>
    <mergeCell ref="B32:G32"/>
    <mergeCell ref="I32:N32"/>
    <mergeCell ref="P32:U32"/>
    <mergeCell ref="I14:N14"/>
    <mergeCell ref="P14:U14"/>
    <mergeCell ref="B14:G14"/>
    <mergeCell ref="B23:G23"/>
    <mergeCell ref="I23:N23"/>
    <mergeCell ref="P23:U23"/>
  </mergeCells>
  <phoneticPr fontId="8" type="noConversion"/>
  <hyperlinks>
    <hyperlink ref="A42:H42" location="Титул!A1" display="Вернуться к Содержанию"/>
  </hyperlinks>
  <pageMargins left="0.23622047244094491" right="0.23622047244094491" top="0.55118110236220474" bottom="0.74803149606299213" header="0.11811023622047245" footer="0.31496062992125984"/>
  <pageSetup paperSize="9" firstPageNumber="11" orientation="landscape" useFirstPageNumber="1" r:id="rId1"/>
  <headerFooter alignWithMargins="0">
    <oddHeader>&amp;L&amp;"Times New Roman,полужирный"Газпром в цифрах 2006-2010 гг.&amp;R&amp;"Times New Roman,полужирный"Справочник</oddHead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33</vt:i4>
      </vt:variant>
      <vt:variant>
        <vt:lpstr>Именованные диапазоны</vt:lpstr>
      </vt:variant>
      <vt:variant>
        <vt:i4>64</vt:i4>
      </vt:variant>
    </vt:vector>
  </HeadingPairs>
  <TitlesOfParts>
    <vt:vector size="97" baseType="lpstr">
      <vt:lpstr>Титул</vt:lpstr>
      <vt:lpstr>Примечания</vt:lpstr>
      <vt:lpstr>Газпром в мире</vt:lpstr>
      <vt:lpstr>Макроэкономика</vt:lpstr>
      <vt:lpstr>Индикаторы</vt:lpstr>
      <vt:lpstr>Классификация</vt:lpstr>
      <vt:lpstr>Суммарные запасы</vt:lpstr>
      <vt:lpstr>Запасы дочерних</vt:lpstr>
      <vt:lpstr>Запасы по округам</vt:lpstr>
      <vt:lpstr>Движение запасов</vt:lpstr>
      <vt:lpstr>Лицензии</vt:lpstr>
      <vt:lpstr>Всего добыча</vt:lpstr>
      <vt:lpstr>Добыча газа (кв.)</vt:lpstr>
      <vt:lpstr>Добыча жидких (кв.)</vt:lpstr>
      <vt:lpstr>Добыча по округам</vt:lpstr>
      <vt:lpstr>ГРР и бурение</vt:lpstr>
      <vt:lpstr>Зарубежные проекты</vt:lpstr>
      <vt:lpstr>Российские проекты</vt:lpstr>
      <vt:lpstr>Транспортировка</vt:lpstr>
      <vt:lpstr>Газотранспортные проекты</vt:lpstr>
      <vt:lpstr>ПХГ</vt:lpstr>
      <vt:lpstr>Переработка</vt:lpstr>
      <vt:lpstr>Переработка компаний</vt:lpstr>
      <vt:lpstr>ГПЗ и НПЗ</vt:lpstr>
      <vt:lpstr>Электроэнергетика</vt:lpstr>
      <vt:lpstr>Реализация газа</vt:lpstr>
      <vt:lpstr>Рынок газа в России</vt:lpstr>
      <vt:lpstr>Продажа жидких</vt:lpstr>
      <vt:lpstr>Продажа энергии и услуг</vt:lpstr>
      <vt:lpstr>Экология</vt:lpstr>
      <vt:lpstr>Персонал</vt:lpstr>
      <vt:lpstr>Коэффициенты</vt:lpstr>
      <vt:lpstr>Глоссарий</vt:lpstr>
      <vt:lpstr>Персонал!_Toc166922594</vt:lpstr>
      <vt:lpstr>Коэффициенты!_Toc260216930</vt:lpstr>
      <vt:lpstr>Глоссарий!_Toc260216931</vt:lpstr>
      <vt:lpstr>'Газпром в мире'!_Toc261606054</vt:lpstr>
      <vt:lpstr>Макроэкономика!_Toc261606055</vt:lpstr>
      <vt:lpstr>Индикаторы!_Toc261606056</vt:lpstr>
      <vt:lpstr>Индикаторы!_Toc261618112</vt:lpstr>
      <vt:lpstr>Классификация!_Toc261618113</vt:lpstr>
      <vt:lpstr>Лицензии!_Toc262475146</vt:lpstr>
      <vt:lpstr>'ГРР и бурение'!_Toc262475148</vt:lpstr>
      <vt:lpstr>Транспортировка!_Toc262475151</vt:lpstr>
      <vt:lpstr>ПХГ!_Toc262475153</vt:lpstr>
      <vt:lpstr>Переработка!_Toc262475155</vt:lpstr>
      <vt:lpstr>Электроэнергетика!_Toc262475156</vt:lpstr>
      <vt:lpstr>'Реализация газа'!_Toc262475157</vt:lpstr>
      <vt:lpstr>'Рынок газа в России'!_Toc262475158</vt:lpstr>
      <vt:lpstr>'Продажа жидких'!_Toc262475159</vt:lpstr>
      <vt:lpstr>'Продажа энергии и услуг'!_Toc262475160</vt:lpstr>
      <vt:lpstr>Экология!_Toc262475161</vt:lpstr>
      <vt:lpstr>'Зарубежные проекты'!_Toc262629694</vt:lpstr>
      <vt:lpstr>'Российские проекты'!_Toc263428332</vt:lpstr>
      <vt:lpstr>'Газотранспортные проекты'!_Toc263428334</vt:lpstr>
      <vt:lpstr>'Российские проекты'!OLE_LINK46</vt:lpstr>
      <vt:lpstr>Персонал!OLE_LINK5</vt:lpstr>
      <vt:lpstr>'Газотранспортные проекты'!Заголовки_для_печати</vt:lpstr>
      <vt:lpstr>'ГПЗ и НПЗ'!Заголовки_для_печати</vt:lpstr>
      <vt:lpstr>'Движение запасов'!Заголовки_для_печати</vt:lpstr>
      <vt:lpstr>'Добыча жидких (кв.)'!Заголовки_для_печати</vt:lpstr>
      <vt:lpstr>'Зарубежные проекты'!Заголовки_для_печати</vt:lpstr>
      <vt:lpstr>Лицензии!Заголовки_для_печати</vt:lpstr>
      <vt:lpstr>'Российские проекты'!Заголовки_для_печати</vt:lpstr>
      <vt:lpstr>'Всего добыча'!Область_печати</vt:lpstr>
      <vt:lpstr>'Газотранспортные проекты'!Область_печати</vt:lpstr>
      <vt:lpstr>'Газпром в мире'!Область_печати</vt:lpstr>
      <vt:lpstr>Глоссарий!Область_печати</vt:lpstr>
      <vt:lpstr>'ГПЗ и НПЗ'!Область_печати</vt:lpstr>
      <vt:lpstr>'ГРР и бурение'!Область_печати</vt:lpstr>
      <vt:lpstr>'Движение запасов'!Область_печати</vt:lpstr>
      <vt:lpstr>'Добыча газа (кв.)'!Область_печати</vt:lpstr>
      <vt:lpstr>'Добыча жидких (кв.)'!Область_печати</vt:lpstr>
      <vt:lpstr>'Добыча по округам'!Область_печати</vt:lpstr>
      <vt:lpstr>'Запасы дочерних'!Область_печати</vt:lpstr>
      <vt:lpstr>'Запасы по округам'!Область_печати</vt:lpstr>
      <vt:lpstr>'Зарубежные проекты'!Область_печати</vt:lpstr>
      <vt:lpstr>Индикаторы!Область_печати</vt:lpstr>
      <vt:lpstr>Классификация!Область_печати</vt:lpstr>
      <vt:lpstr>Коэффициенты!Область_печати</vt:lpstr>
      <vt:lpstr>Лицензии!Область_печати</vt:lpstr>
      <vt:lpstr>Макроэкономика!Область_печати</vt:lpstr>
      <vt:lpstr>Переработка!Область_печати</vt:lpstr>
      <vt:lpstr>'Переработка компаний'!Область_печати</vt:lpstr>
      <vt:lpstr>Персонал!Область_печати</vt:lpstr>
      <vt:lpstr>Примечания!Область_печати</vt:lpstr>
      <vt:lpstr>'Продажа жидких'!Область_печати</vt:lpstr>
      <vt:lpstr>'Продажа энергии и услуг'!Область_печати</vt:lpstr>
      <vt:lpstr>ПХГ!Область_печати</vt:lpstr>
      <vt:lpstr>'Реализация газа'!Область_печати</vt:lpstr>
      <vt:lpstr>'Российские проекты'!Область_печати</vt:lpstr>
      <vt:lpstr>'Рынок газа в России'!Область_печати</vt:lpstr>
      <vt:lpstr>'Суммарные запасы'!Область_печати</vt:lpstr>
      <vt:lpstr>Титул!Область_печати</vt:lpstr>
      <vt:lpstr>Транспортировка!Область_печати</vt:lpstr>
      <vt:lpstr>Экология!Область_печати</vt:lpstr>
      <vt:lpstr>Электроэнергетика!Область_печати</vt:lpstr>
    </vt:vector>
  </TitlesOfParts>
  <Company>horizon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shliapin</dc:creator>
  <cp:lastModifiedBy>Yudin</cp:lastModifiedBy>
  <cp:lastPrinted>2011-08-02T08:53:55Z</cp:lastPrinted>
  <dcterms:created xsi:type="dcterms:W3CDTF">2010-05-11T07:55:03Z</dcterms:created>
  <dcterms:modified xsi:type="dcterms:W3CDTF">2011-08-03T07:04:12Z</dcterms:modified>
</cp:coreProperties>
</file>